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irka\zahrady_2025\Hrubšice\K ODEVZDÁNÍ NA ÚŘAD\"/>
    </mc:Choice>
  </mc:AlternateContent>
  <xr:revisionPtr revIDLastSave="0" documentId="13_ncr:1_{8E53C7A8-1AB9-4644-AC8D-220D5F477D6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ozpočet - vybrané sloupce" sheetId="1" r:id="rId1"/>
    <sheet name="Krycí list rozpočtu" sheetId="3" r:id="rId2"/>
    <sheet name="VORN" sheetId="4" state="hidden" r:id="rId3"/>
    <sheet name="Stavební rozpočet" sheetId="5" state="hidden" r:id="rId4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" l="1"/>
  <c r="D4" i="1"/>
  <c r="BW108" i="5"/>
  <c r="AK108" i="5"/>
  <c r="AJ108" i="5"/>
  <c r="AG108" i="5"/>
  <c r="AF108" i="5"/>
  <c r="AE108" i="5"/>
  <c r="AD108" i="5"/>
  <c r="AC108" i="5"/>
  <c r="AB108" i="5"/>
  <c r="Z108" i="5"/>
  <c r="H108" i="5"/>
  <c r="BD108" i="5" s="1"/>
  <c r="G108" i="5"/>
  <c r="BW106" i="5"/>
  <c r="AK106" i="5"/>
  <c r="AJ106" i="5"/>
  <c r="AG106" i="5"/>
  <c r="AF106" i="5"/>
  <c r="AE106" i="5"/>
  <c r="AD106" i="5"/>
  <c r="AC106" i="5"/>
  <c r="AB106" i="5"/>
  <c r="Z106" i="5"/>
  <c r="H106" i="5"/>
  <c r="AP106" i="5" s="1"/>
  <c r="G106" i="5"/>
  <c r="BI106" i="5" s="1"/>
  <c r="BW104" i="5"/>
  <c r="BD104" i="5"/>
  <c r="AK104" i="5"/>
  <c r="AJ104" i="5"/>
  <c r="AG104" i="5"/>
  <c r="AF104" i="5"/>
  <c r="AE104" i="5"/>
  <c r="AD104" i="5"/>
  <c r="AC104" i="5"/>
  <c r="AB104" i="5"/>
  <c r="Z104" i="5"/>
  <c r="H104" i="5"/>
  <c r="AO104" i="5" s="1"/>
  <c r="G104" i="5"/>
  <c r="O104" i="5" s="1"/>
  <c r="BF104" i="5" s="1"/>
  <c r="BW102" i="5"/>
  <c r="AK102" i="5"/>
  <c r="AJ102" i="5"/>
  <c r="AG102" i="5"/>
  <c r="AF102" i="5"/>
  <c r="AE102" i="5"/>
  <c r="AD102" i="5"/>
  <c r="AC102" i="5"/>
  <c r="AB102" i="5"/>
  <c r="Z102" i="5"/>
  <c r="H102" i="5"/>
  <c r="BD102" i="5" s="1"/>
  <c r="G102" i="5"/>
  <c r="O102" i="5" s="1"/>
  <c r="BF102" i="5" s="1"/>
  <c r="BW100" i="5"/>
  <c r="AK100" i="5"/>
  <c r="AJ100" i="5"/>
  <c r="AG100" i="5"/>
  <c r="AF100" i="5"/>
  <c r="AE100" i="5"/>
  <c r="AD100" i="5"/>
  <c r="AC100" i="5"/>
  <c r="AB100" i="5"/>
  <c r="Z100" i="5"/>
  <c r="O100" i="5"/>
  <c r="H100" i="5"/>
  <c r="AO100" i="5" s="1"/>
  <c r="G100" i="5"/>
  <c r="BW97" i="5"/>
  <c r="AK97" i="5"/>
  <c r="AT96" i="5" s="1"/>
  <c r="AJ97" i="5"/>
  <c r="AS96" i="5" s="1"/>
  <c r="AH97" i="5"/>
  <c r="AG97" i="5"/>
  <c r="AF97" i="5"/>
  <c r="AE97" i="5"/>
  <c r="AD97" i="5"/>
  <c r="AC97" i="5"/>
  <c r="AB97" i="5"/>
  <c r="H97" i="5"/>
  <c r="G97" i="5"/>
  <c r="BW94" i="5"/>
  <c r="AK94" i="5"/>
  <c r="AJ94" i="5"/>
  <c r="AH94" i="5"/>
  <c r="AG94" i="5"/>
  <c r="AF94" i="5"/>
  <c r="AE94" i="5"/>
  <c r="AD94" i="5"/>
  <c r="Z94" i="5"/>
  <c r="O94" i="5"/>
  <c r="BF94" i="5" s="1"/>
  <c r="H94" i="5"/>
  <c r="AO94" i="5" s="1"/>
  <c r="G94" i="5"/>
  <c r="BW92" i="5"/>
  <c r="AK92" i="5"/>
  <c r="AJ92" i="5"/>
  <c r="AH92" i="5"/>
  <c r="AG92" i="5"/>
  <c r="AF92" i="5"/>
  <c r="AE92" i="5"/>
  <c r="AD92" i="5"/>
  <c r="Z92" i="5"/>
  <c r="H92" i="5"/>
  <c r="BD92" i="5" s="1"/>
  <c r="G92" i="5"/>
  <c r="BW88" i="5"/>
  <c r="AK88" i="5"/>
  <c r="AJ88" i="5"/>
  <c r="AG88" i="5"/>
  <c r="AF88" i="5"/>
  <c r="AE88" i="5"/>
  <c r="AD88" i="5"/>
  <c r="AC88" i="5"/>
  <c r="AB88" i="5"/>
  <c r="Z88" i="5"/>
  <c r="H88" i="5"/>
  <c r="BD88" i="5" s="1"/>
  <c r="G88" i="5"/>
  <c r="BW86" i="5"/>
  <c r="AK86" i="5"/>
  <c r="AJ86" i="5"/>
  <c r="AG86" i="5"/>
  <c r="AF86" i="5"/>
  <c r="AE86" i="5"/>
  <c r="AD86" i="5"/>
  <c r="AC86" i="5"/>
  <c r="AB86" i="5"/>
  <c r="Z86" i="5"/>
  <c r="H86" i="5"/>
  <c r="AP86" i="5" s="1"/>
  <c r="G86" i="5"/>
  <c r="BW84" i="5"/>
  <c r="BD84" i="5"/>
  <c r="AK84" i="5"/>
  <c r="AJ84" i="5"/>
  <c r="AG84" i="5"/>
  <c r="AF84" i="5"/>
  <c r="AE84" i="5"/>
  <c r="AD84" i="5"/>
  <c r="AC84" i="5"/>
  <c r="AB84" i="5"/>
  <c r="Z84" i="5"/>
  <c r="H84" i="5"/>
  <c r="AP84" i="5" s="1"/>
  <c r="G84" i="5"/>
  <c r="BW82" i="5"/>
  <c r="AK82" i="5"/>
  <c r="AJ82" i="5"/>
  <c r="AG82" i="5"/>
  <c r="AF82" i="5"/>
  <c r="AE82" i="5"/>
  <c r="AD82" i="5"/>
  <c r="AC82" i="5"/>
  <c r="AB82" i="5"/>
  <c r="Z82" i="5"/>
  <c r="H82" i="5"/>
  <c r="G82" i="5"/>
  <c r="BW80" i="5"/>
  <c r="AP80" i="5"/>
  <c r="K80" i="5" s="1"/>
  <c r="AO80" i="5"/>
  <c r="AW80" i="5" s="1"/>
  <c r="AK80" i="5"/>
  <c r="AJ80" i="5"/>
  <c r="AG80" i="5"/>
  <c r="AF80" i="5"/>
  <c r="AE80" i="5"/>
  <c r="AD80" i="5"/>
  <c r="AC80" i="5"/>
  <c r="AB80" i="5"/>
  <c r="Z80" i="5"/>
  <c r="H80" i="5"/>
  <c r="BD80" i="5" s="1"/>
  <c r="G80" i="5"/>
  <c r="BW78" i="5"/>
  <c r="AK78" i="5"/>
  <c r="AJ78" i="5"/>
  <c r="AG78" i="5"/>
  <c r="AF78" i="5"/>
  <c r="AE78" i="5"/>
  <c r="AD78" i="5"/>
  <c r="AC78" i="5"/>
  <c r="AB78" i="5"/>
  <c r="Z78" i="5"/>
  <c r="H78" i="5"/>
  <c r="BD78" i="5" s="1"/>
  <c r="G78" i="5"/>
  <c r="BW76" i="5"/>
  <c r="AK76" i="5"/>
  <c r="AJ76" i="5"/>
  <c r="AG76" i="5"/>
  <c r="AF76" i="5"/>
  <c r="AE76" i="5"/>
  <c r="AD76" i="5"/>
  <c r="AC76" i="5"/>
  <c r="AB76" i="5"/>
  <c r="Z76" i="5"/>
  <c r="H76" i="5"/>
  <c r="BD76" i="5" s="1"/>
  <c r="G76" i="5"/>
  <c r="BW73" i="5"/>
  <c r="AK73" i="5"/>
  <c r="AJ73" i="5"/>
  <c r="AG73" i="5"/>
  <c r="AF73" i="5"/>
  <c r="AE73" i="5"/>
  <c r="AD73" i="5"/>
  <c r="AC73" i="5"/>
  <c r="AB73" i="5"/>
  <c r="Z73" i="5"/>
  <c r="H73" i="5"/>
  <c r="AP73" i="5" s="1"/>
  <c r="G73" i="5"/>
  <c r="O73" i="5" s="1"/>
  <c r="BF73" i="5" s="1"/>
  <c r="BW68" i="5"/>
  <c r="AK68" i="5"/>
  <c r="AT67" i="5" s="1"/>
  <c r="AJ68" i="5"/>
  <c r="AS67" i="5" s="1"/>
  <c r="AH68" i="5"/>
  <c r="AG68" i="5"/>
  <c r="AF68" i="5"/>
  <c r="AE68" i="5"/>
  <c r="AD68" i="5"/>
  <c r="AC68" i="5"/>
  <c r="AB68" i="5"/>
  <c r="H68" i="5"/>
  <c r="BD68" i="5" s="1"/>
  <c r="G68" i="5"/>
  <c r="BW64" i="5"/>
  <c r="AK64" i="5"/>
  <c r="AT63" i="5" s="1"/>
  <c r="AJ64" i="5"/>
  <c r="AS63" i="5" s="1"/>
  <c r="AH64" i="5"/>
  <c r="AE64" i="5"/>
  <c r="AD64" i="5"/>
  <c r="AC64" i="5"/>
  <c r="AB64" i="5"/>
  <c r="Z64" i="5"/>
  <c r="H64" i="5"/>
  <c r="AP64" i="5" s="1"/>
  <c r="G64" i="5"/>
  <c r="BW60" i="5"/>
  <c r="AK60" i="5"/>
  <c r="AT59" i="5" s="1"/>
  <c r="AJ60" i="5"/>
  <c r="AS59" i="5" s="1"/>
  <c r="AH60" i="5"/>
  <c r="AG60" i="5"/>
  <c r="AF60" i="5"/>
  <c r="AE60" i="5"/>
  <c r="AD60" i="5"/>
  <c r="AC60" i="5"/>
  <c r="AB60" i="5"/>
  <c r="H60" i="5"/>
  <c r="G60" i="5"/>
  <c r="O60" i="5" s="1"/>
  <c r="BW55" i="5"/>
  <c r="AK55" i="5"/>
  <c r="AT54" i="5" s="1"/>
  <c r="AJ55" i="5"/>
  <c r="AS54" i="5" s="1"/>
  <c r="AH55" i="5"/>
  <c r="AG55" i="5"/>
  <c r="AF55" i="5"/>
  <c r="AE55" i="5"/>
  <c r="AD55" i="5"/>
  <c r="Z55" i="5"/>
  <c r="H55" i="5"/>
  <c r="G55" i="5"/>
  <c r="BW51" i="5"/>
  <c r="AK51" i="5"/>
  <c r="AT50" i="5" s="1"/>
  <c r="AJ51" i="5"/>
  <c r="AS50" i="5" s="1"/>
  <c r="AH51" i="5"/>
  <c r="AG51" i="5"/>
  <c r="AF51" i="5"/>
  <c r="AE51" i="5"/>
  <c r="AD51" i="5"/>
  <c r="Z51" i="5"/>
  <c r="H51" i="5"/>
  <c r="BD51" i="5" s="1"/>
  <c r="G51" i="5"/>
  <c r="BW47" i="5"/>
  <c r="AK47" i="5"/>
  <c r="AJ47" i="5"/>
  <c r="AH47" i="5"/>
  <c r="AG47" i="5"/>
  <c r="AF47" i="5"/>
  <c r="AE47" i="5"/>
  <c r="AD47" i="5"/>
  <c r="Z47" i="5"/>
  <c r="H47" i="5"/>
  <c r="BD47" i="5" s="1"/>
  <c r="G47" i="5"/>
  <c r="BW44" i="5"/>
  <c r="AK44" i="5"/>
  <c r="AJ44" i="5"/>
  <c r="AH44" i="5"/>
  <c r="AG44" i="5"/>
  <c r="AF44" i="5"/>
  <c r="AE44" i="5"/>
  <c r="AD44" i="5"/>
  <c r="Z44" i="5"/>
  <c r="H44" i="5"/>
  <c r="G44" i="5"/>
  <c r="O44" i="5" s="1"/>
  <c r="BF44" i="5" s="1"/>
  <c r="BW41" i="5"/>
  <c r="AO41" i="5"/>
  <c r="AK41" i="5"/>
  <c r="AJ41" i="5"/>
  <c r="AH41" i="5"/>
  <c r="AG41" i="5"/>
  <c r="AF41" i="5"/>
  <c r="AE41" i="5"/>
  <c r="AD41" i="5"/>
  <c r="Z41" i="5"/>
  <c r="H41" i="5"/>
  <c r="AP41" i="5" s="1"/>
  <c r="G41" i="5"/>
  <c r="BW38" i="5"/>
  <c r="AK38" i="5"/>
  <c r="AJ38" i="5"/>
  <c r="AH38" i="5"/>
  <c r="AG38" i="5"/>
  <c r="AF38" i="5"/>
  <c r="AE38" i="5"/>
  <c r="AD38" i="5"/>
  <c r="Z38" i="5"/>
  <c r="H38" i="5"/>
  <c r="BD38" i="5" s="1"/>
  <c r="G38" i="5"/>
  <c r="BW35" i="5"/>
  <c r="AK35" i="5"/>
  <c r="AJ35" i="5"/>
  <c r="AH35" i="5"/>
  <c r="AG35" i="5"/>
  <c r="AF35" i="5"/>
  <c r="AE35" i="5"/>
  <c r="AD35" i="5"/>
  <c r="Z35" i="5"/>
  <c r="H35" i="5"/>
  <c r="AP35" i="5" s="1"/>
  <c r="G35" i="5"/>
  <c r="BW32" i="5"/>
  <c r="AK32" i="5"/>
  <c r="AJ32" i="5"/>
  <c r="AH32" i="5"/>
  <c r="AG32" i="5"/>
  <c r="AF32" i="5"/>
  <c r="AE32" i="5"/>
  <c r="AD32" i="5"/>
  <c r="Z32" i="5"/>
  <c r="H32" i="5"/>
  <c r="AP32" i="5" s="1"/>
  <c r="G32" i="5"/>
  <c r="BJ32" i="5" s="1"/>
  <c r="BW29" i="5"/>
  <c r="AK29" i="5"/>
  <c r="AJ29" i="5"/>
  <c r="AH29" i="5"/>
  <c r="AG29" i="5"/>
  <c r="AF29" i="5"/>
  <c r="AE29" i="5"/>
  <c r="AD29" i="5"/>
  <c r="Z29" i="5"/>
  <c r="H29" i="5"/>
  <c r="G29" i="5"/>
  <c r="O29" i="5" s="1"/>
  <c r="BF29" i="5" s="1"/>
  <c r="BW26" i="5"/>
  <c r="AK26" i="5"/>
  <c r="AJ26" i="5"/>
  <c r="AH26" i="5"/>
  <c r="AG26" i="5"/>
  <c r="AF26" i="5"/>
  <c r="AE26" i="5"/>
  <c r="AD26" i="5"/>
  <c r="Z26" i="5"/>
  <c r="H26" i="5"/>
  <c r="AO26" i="5" s="1"/>
  <c r="G26" i="5"/>
  <c r="BW23" i="5"/>
  <c r="AK23" i="5"/>
  <c r="AJ23" i="5"/>
  <c r="AH23" i="5"/>
  <c r="AG23" i="5"/>
  <c r="AF23" i="5"/>
  <c r="AE23" i="5"/>
  <c r="AD23" i="5"/>
  <c r="Z23" i="5"/>
  <c r="H23" i="5"/>
  <c r="AP23" i="5" s="1"/>
  <c r="AX23" i="5" s="1"/>
  <c r="G23" i="5"/>
  <c r="O23" i="5" s="1"/>
  <c r="BF23" i="5" s="1"/>
  <c r="BW20" i="5"/>
  <c r="AK20" i="5"/>
  <c r="AJ20" i="5"/>
  <c r="AH20" i="5"/>
  <c r="AG20" i="5"/>
  <c r="AF20" i="5"/>
  <c r="AE20" i="5"/>
  <c r="AD20" i="5"/>
  <c r="Z20" i="5"/>
  <c r="H20" i="5"/>
  <c r="G20" i="5"/>
  <c r="BW17" i="5"/>
  <c r="AK17" i="5"/>
  <c r="AJ17" i="5"/>
  <c r="AH17" i="5"/>
  <c r="AG17" i="5"/>
  <c r="AF17" i="5"/>
  <c r="AE17" i="5"/>
  <c r="AD17" i="5"/>
  <c r="Z17" i="5"/>
  <c r="H17" i="5"/>
  <c r="AP17" i="5" s="1"/>
  <c r="G17" i="5"/>
  <c r="BW14" i="5"/>
  <c r="AK14" i="5"/>
  <c r="AT13" i="5" s="1"/>
  <c r="AJ14" i="5"/>
  <c r="AH14" i="5"/>
  <c r="AG14" i="5"/>
  <c r="AF14" i="5"/>
  <c r="AE14" i="5"/>
  <c r="AD14" i="5"/>
  <c r="Z14" i="5"/>
  <c r="H14" i="5"/>
  <c r="BD14" i="5" s="1"/>
  <c r="G14" i="5"/>
  <c r="AU1" i="5"/>
  <c r="AT1" i="5"/>
  <c r="AS1" i="5"/>
  <c r="I36" i="4"/>
  <c r="I24" i="3" s="1"/>
  <c r="I35" i="4"/>
  <c r="I26" i="4"/>
  <c r="I19" i="3" s="1"/>
  <c r="I25" i="4"/>
  <c r="I18" i="3" s="1"/>
  <c r="I24" i="4"/>
  <c r="I23" i="4"/>
  <c r="I27" i="4" s="1"/>
  <c r="I22" i="4"/>
  <c r="I15" i="3" s="1"/>
  <c r="I21" i="4"/>
  <c r="I18" i="4"/>
  <c r="I17" i="4"/>
  <c r="I16" i="4"/>
  <c r="I15" i="4"/>
  <c r="F14" i="3" s="1"/>
  <c r="F22" i="3" s="1"/>
  <c r="I10" i="4"/>
  <c r="F10" i="4"/>
  <c r="C10" i="4"/>
  <c r="F8" i="4"/>
  <c r="C8" i="4"/>
  <c r="F6" i="4"/>
  <c r="C6" i="4"/>
  <c r="F4" i="4"/>
  <c r="C4" i="4"/>
  <c r="F2" i="4"/>
  <c r="C2" i="4"/>
  <c r="I17" i="3"/>
  <c r="F16" i="3"/>
  <c r="F15" i="3"/>
  <c r="I14" i="3"/>
  <c r="I10" i="3"/>
  <c r="F10" i="3"/>
  <c r="C10" i="3"/>
  <c r="F8" i="3"/>
  <c r="C8" i="3"/>
  <c r="F6" i="3"/>
  <c r="C6" i="3"/>
  <c r="IS90" i="1"/>
  <c r="IR90" i="1"/>
  <c r="J90" i="1" s="1"/>
  <c r="IS88" i="1"/>
  <c r="IR88" i="1"/>
  <c r="IS86" i="1"/>
  <c r="IR86" i="1"/>
  <c r="J86" i="1"/>
  <c r="IS84" i="1"/>
  <c r="IR84" i="1"/>
  <c r="IS82" i="1"/>
  <c r="IR82" i="1"/>
  <c r="J82" i="1" s="1"/>
  <c r="IS79" i="1"/>
  <c r="IR79" i="1"/>
  <c r="J79" i="1" s="1"/>
  <c r="J78" i="1" s="1"/>
  <c r="IS76" i="1"/>
  <c r="IR76" i="1"/>
  <c r="J76" i="1" s="1"/>
  <c r="IS74" i="1"/>
  <c r="IR74" i="1"/>
  <c r="J74" i="1" s="1"/>
  <c r="IS70" i="1"/>
  <c r="IR70" i="1"/>
  <c r="J70" i="1" s="1"/>
  <c r="IS68" i="1"/>
  <c r="IR68" i="1"/>
  <c r="J68" i="1"/>
  <c r="IS66" i="1"/>
  <c r="IR66" i="1"/>
  <c r="J66" i="1" s="1"/>
  <c r="IS64" i="1"/>
  <c r="IR64" i="1"/>
  <c r="IS62" i="1"/>
  <c r="IR62" i="1"/>
  <c r="J62" i="1" s="1"/>
  <c r="IS60" i="1"/>
  <c r="IR60" i="1"/>
  <c r="IS58" i="1"/>
  <c r="IR58" i="1"/>
  <c r="IS55" i="1"/>
  <c r="IR55" i="1"/>
  <c r="J55" i="1" s="1"/>
  <c r="IS51" i="1"/>
  <c r="IR51" i="1"/>
  <c r="IS48" i="1"/>
  <c r="J48" i="1" s="1"/>
  <c r="J47" i="1" s="1"/>
  <c r="IR48" i="1"/>
  <c r="IS45" i="1"/>
  <c r="IR45" i="1"/>
  <c r="J45" i="1" s="1"/>
  <c r="J44" i="1" s="1"/>
  <c r="IS41" i="1"/>
  <c r="IR41" i="1"/>
  <c r="J41" i="1"/>
  <c r="J40" i="1" s="1"/>
  <c r="IS38" i="1"/>
  <c r="IR38" i="1"/>
  <c r="IS35" i="1"/>
  <c r="J35" i="1" s="1"/>
  <c r="IR35" i="1"/>
  <c r="IS33" i="1"/>
  <c r="IR33" i="1"/>
  <c r="J33" i="1"/>
  <c r="IS31" i="1"/>
  <c r="IR31" i="1"/>
  <c r="J31" i="1" s="1"/>
  <c r="IS29" i="1"/>
  <c r="IR29" i="1"/>
  <c r="IS27" i="1"/>
  <c r="J27" i="1" s="1"/>
  <c r="IR27" i="1"/>
  <c r="IS25" i="1"/>
  <c r="IR25" i="1"/>
  <c r="J25" i="1" s="1"/>
  <c r="IS23" i="1"/>
  <c r="IR23" i="1"/>
  <c r="IS21" i="1"/>
  <c r="J21" i="1" s="1"/>
  <c r="IR21" i="1"/>
  <c r="IS19" i="1"/>
  <c r="IR19" i="1"/>
  <c r="J19" i="1" s="1"/>
  <c r="IS17" i="1"/>
  <c r="IR17" i="1"/>
  <c r="J17" i="1" s="1"/>
  <c r="IS15" i="1"/>
  <c r="IR15" i="1"/>
  <c r="J15" i="1"/>
  <c r="IS13" i="1"/>
  <c r="IR13" i="1"/>
  <c r="I8" i="1"/>
  <c r="G8" i="1"/>
  <c r="D8" i="1"/>
  <c r="I6" i="1"/>
  <c r="G6" i="1"/>
  <c r="D6" i="1"/>
  <c r="G2" i="1"/>
  <c r="D2" i="1"/>
  <c r="J88" i="1" l="1"/>
  <c r="AS91" i="5"/>
  <c r="J73" i="1"/>
  <c r="AO88" i="5"/>
  <c r="AP88" i="5"/>
  <c r="BI88" i="5" s="1"/>
  <c r="BD86" i="5"/>
  <c r="AO84" i="5"/>
  <c r="J84" i="5" s="1"/>
  <c r="J64" i="1"/>
  <c r="J60" i="1"/>
  <c r="J58" i="1"/>
  <c r="BD73" i="5"/>
  <c r="BJ68" i="5"/>
  <c r="Z68" i="5" s="1"/>
  <c r="J38" i="1"/>
  <c r="J37" i="1" s="1"/>
  <c r="AP51" i="5"/>
  <c r="AX51" i="5" s="1"/>
  <c r="BJ41" i="5"/>
  <c r="J29" i="1"/>
  <c r="J23" i="1"/>
  <c r="AP26" i="5"/>
  <c r="BD26" i="5"/>
  <c r="J14" i="1"/>
  <c r="BD17" i="5"/>
  <c r="AO14" i="5"/>
  <c r="BH14" i="5" s="1"/>
  <c r="AB14" i="5" s="1"/>
  <c r="AP14" i="5"/>
  <c r="K14" i="5" s="1"/>
  <c r="J13" i="1"/>
  <c r="J12" i="1" s="1"/>
  <c r="J51" i="1"/>
  <c r="J50" i="1" s="1"/>
  <c r="L108" i="5"/>
  <c r="M108" i="5" s="1"/>
  <c r="BH104" i="5"/>
  <c r="AX106" i="5"/>
  <c r="AW88" i="5"/>
  <c r="L104" i="5"/>
  <c r="AL104" i="5" s="1"/>
  <c r="O106" i="5"/>
  <c r="BF106" i="5" s="1"/>
  <c r="L41" i="5"/>
  <c r="O41" i="5"/>
  <c r="BF41" i="5" s="1"/>
  <c r="L55" i="5"/>
  <c r="L54" i="5" s="1"/>
  <c r="AO47" i="5"/>
  <c r="AW47" i="5" s="1"/>
  <c r="AX26" i="5"/>
  <c r="AW26" i="5"/>
  <c r="AV26" i="5" s="1"/>
  <c r="BI80" i="5"/>
  <c r="AO78" i="5"/>
  <c r="J78" i="5" s="1"/>
  <c r="BI35" i="5"/>
  <c r="AC35" i="5" s="1"/>
  <c r="J47" i="5"/>
  <c r="L82" i="5"/>
  <c r="AL82" i="5" s="1"/>
  <c r="AT16" i="5"/>
  <c r="AT72" i="5"/>
  <c r="J26" i="5"/>
  <c r="BD32" i="5"/>
  <c r="L35" i="5"/>
  <c r="M35" i="5" s="1"/>
  <c r="BJ26" i="5"/>
  <c r="BJ108" i="5"/>
  <c r="AH108" i="5" s="1"/>
  <c r="BI26" i="5"/>
  <c r="AC26" i="5" s="1"/>
  <c r="BI14" i="5"/>
  <c r="AC14" i="5" s="1"/>
  <c r="AO17" i="5"/>
  <c r="AW17" i="5" s="1"/>
  <c r="BC17" i="5" s="1"/>
  <c r="L26" i="5"/>
  <c r="AL26" i="5" s="1"/>
  <c r="AO51" i="5"/>
  <c r="J51" i="5" s="1"/>
  <c r="K88" i="5"/>
  <c r="AP104" i="5"/>
  <c r="BI104" i="5" s="1"/>
  <c r="AX80" i="5"/>
  <c r="L86" i="5"/>
  <c r="AL86" i="5" s="1"/>
  <c r="AX17" i="5"/>
  <c r="BJ17" i="5"/>
  <c r="J104" i="5"/>
  <c r="BJ104" i="5"/>
  <c r="AH104" i="5" s="1"/>
  <c r="AO106" i="5"/>
  <c r="BJ80" i="5"/>
  <c r="AH80" i="5" s="1"/>
  <c r="L80" i="5"/>
  <c r="AX14" i="5"/>
  <c r="L14" i="5"/>
  <c r="O88" i="5"/>
  <c r="BF88" i="5" s="1"/>
  <c r="L17" i="5"/>
  <c r="AL17" i="5" s="1"/>
  <c r="L106" i="5"/>
  <c r="BD106" i="5"/>
  <c r="BH26" i="5"/>
  <c r="AB26" i="5" s="1"/>
  <c r="BC80" i="5"/>
  <c r="O17" i="5"/>
  <c r="BF17" i="5" s="1"/>
  <c r="AO38" i="5"/>
  <c r="AW38" i="5" s="1"/>
  <c r="BJ51" i="5"/>
  <c r="AP94" i="5"/>
  <c r="AP38" i="5"/>
  <c r="AX38" i="5" s="1"/>
  <c r="AV38" i="5" s="1"/>
  <c r="L68" i="5"/>
  <c r="L67" i="5" s="1"/>
  <c r="AS16" i="5"/>
  <c r="BJ14" i="5"/>
  <c r="AO32" i="5"/>
  <c r="BH32" i="5" s="1"/>
  <c r="AB32" i="5" s="1"/>
  <c r="AO35" i="5"/>
  <c r="J35" i="5" s="1"/>
  <c r="BH41" i="5"/>
  <c r="AB41" i="5" s="1"/>
  <c r="BD35" i="5"/>
  <c r="BD41" i="5"/>
  <c r="AO64" i="5"/>
  <c r="BH64" i="5" s="1"/>
  <c r="AF64" i="5" s="1"/>
  <c r="C18" i="3" s="1"/>
  <c r="AT91" i="5"/>
  <c r="L100" i="5"/>
  <c r="AL100" i="5" s="1"/>
  <c r="BJ106" i="5"/>
  <c r="AH106" i="5" s="1"/>
  <c r="BJ73" i="5"/>
  <c r="AH73" i="5" s="1"/>
  <c r="L73" i="5"/>
  <c r="AO73" i="5"/>
  <c r="AS72" i="5"/>
  <c r="AW104" i="5"/>
  <c r="AS99" i="5"/>
  <c r="AT99" i="5"/>
  <c r="J84" i="1"/>
  <c r="J81" i="1" s="1"/>
  <c r="J72" i="1" s="1"/>
  <c r="C17" i="3"/>
  <c r="AO68" i="5"/>
  <c r="AP68" i="5"/>
  <c r="AX68" i="5" s="1"/>
  <c r="BH94" i="5"/>
  <c r="AB94" i="5" s="1"/>
  <c r="J94" i="5"/>
  <c r="K13" i="5"/>
  <c r="J54" i="1"/>
  <c r="I22" i="3"/>
  <c r="BH100" i="5"/>
  <c r="J100" i="5"/>
  <c r="AW100" i="5"/>
  <c r="F29" i="4"/>
  <c r="AL80" i="5"/>
  <c r="M80" i="5"/>
  <c r="BI23" i="5"/>
  <c r="AC23" i="5" s="1"/>
  <c r="L23" i="5"/>
  <c r="AO23" i="5"/>
  <c r="J23" i="5" s="1"/>
  <c r="AP55" i="5"/>
  <c r="BI55" i="5" s="1"/>
  <c r="AC55" i="5" s="1"/>
  <c r="AO55" i="5"/>
  <c r="BH55" i="5" s="1"/>
  <c r="AB55" i="5" s="1"/>
  <c r="BD55" i="5"/>
  <c r="AO102" i="5"/>
  <c r="BJ102" i="5"/>
  <c r="AH102" i="5" s="1"/>
  <c r="AP29" i="5"/>
  <c r="K29" i="5" s="1"/>
  <c r="AO29" i="5"/>
  <c r="J29" i="5" s="1"/>
  <c r="BD29" i="5"/>
  <c r="C27" i="3"/>
  <c r="AS13" i="5"/>
  <c r="L29" i="5"/>
  <c r="BJ55" i="5"/>
  <c r="AP97" i="5"/>
  <c r="AX97" i="5" s="1"/>
  <c r="AO97" i="5"/>
  <c r="AW97" i="5" s="1"/>
  <c r="L102" i="5"/>
  <c r="BJ76" i="5"/>
  <c r="AH76" i="5" s="1"/>
  <c r="I16" i="3"/>
  <c r="K23" i="5"/>
  <c r="BD23" i="5"/>
  <c r="BJ29" i="5"/>
  <c r="BJ44" i="5"/>
  <c r="O55" i="5"/>
  <c r="AX64" i="5"/>
  <c r="O64" i="5"/>
  <c r="K64" i="5"/>
  <c r="BJ64" i="5"/>
  <c r="BI64" i="5"/>
  <c r="AG64" i="5" s="1"/>
  <c r="C19" i="3" s="1"/>
  <c r="AW64" i="5"/>
  <c r="L76" i="5"/>
  <c r="AP82" i="5"/>
  <c r="AX82" i="5" s="1"/>
  <c r="AO82" i="5"/>
  <c r="J82" i="5" s="1"/>
  <c r="BD82" i="5"/>
  <c r="O92" i="5"/>
  <c r="L92" i="5"/>
  <c r="L97" i="5"/>
  <c r="BD97" i="5"/>
  <c r="BD64" i="5"/>
  <c r="O76" i="5"/>
  <c r="AP92" i="5"/>
  <c r="BI92" i="5" s="1"/>
  <c r="AC92" i="5" s="1"/>
  <c r="AO92" i="5"/>
  <c r="AW92" i="5" s="1"/>
  <c r="AP44" i="5"/>
  <c r="AX44" i="5" s="1"/>
  <c r="AO44" i="5"/>
  <c r="BH44" i="5" s="1"/>
  <c r="AB44" i="5" s="1"/>
  <c r="L32" i="5"/>
  <c r="BI32" i="5"/>
  <c r="AC32" i="5" s="1"/>
  <c r="L44" i="5"/>
  <c r="BJ92" i="5"/>
  <c r="BJ97" i="5"/>
  <c r="Z97" i="5" s="1"/>
  <c r="BJ23" i="5"/>
  <c r="AX32" i="5"/>
  <c r="L64" i="5"/>
  <c r="L78" i="5"/>
  <c r="O82" i="5"/>
  <c r="BF82" i="5" s="1"/>
  <c r="BJ82" i="5"/>
  <c r="AH82" i="5" s="1"/>
  <c r="J14" i="5"/>
  <c r="AW14" i="5"/>
  <c r="C28" i="3"/>
  <c r="F28" i="3" s="1"/>
  <c r="BH38" i="5"/>
  <c r="AB38" i="5" s="1"/>
  <c r="K51" i="5"/>
  <c r="AP78" i="5"/>
  <c r="AX78" i="5" s="1"/>
  <c r="J88" i="5"/>
  <c r="AX88" i="5"/>
  <c r="AW94" i="5"/>
  <c r="BD44" i="5"/>
  <c r="K32" i="5"/>
  <c r="L38" i="5"/>
  <c r="L47" i="5"/>
  <c r="L51" i="5"/>
  <c r="BI51" i="5"/>
  <c r="AC51" i="5" s="1"/>
  <c r="AW84" i="5"/>
  <c r="L84" i="5"/>
  <c r="BI84" i="5"/>
  <c r="BH84" i="5"/>
  <c r="BJ94" i="5"/>
  <c r="BD94" i="5"/>
  <c r="L94" i="5"/>
  <c r="O32" i="5"/>
  <c r="BF32" i="5" s="1"/>
  <c r="O38" i="5"/>
  <c r="BF38" i="5" s="1"/>
  <c r="BJ38" i="5"/>
  <c r="AP47" i="5"/>
  <c r="AX47" i="5" s="1"/>
  <c r="O51" i="5"/>
  <c r="BJ60" i="5"/>
  <c r="Z60" i="5" s="1"/>
  <c r="C21" i="3" s="1"/>
  <c r="O78" i="5"/>
  <c r="BF78" i="5" s="1"/>
  <c r="BJ78" i="5"/>
  <c r="AH78" i="5" s="1"/>
  <c r="AX84" i="5"/>
  <c r="L88" i="5"/>
  <c r="BH88" i="5"/>
  <c r="AP60" i="5"/>
  <c r="K60" i="5" s="1"/>
  <c r="AO60" i="5"/>
  <c r="BH60" i="5" s="1"/>
  <c r="BD60" i="5"/>
  <c r="BI73" i="5"/>
  <c r="K73" i="5"/>
  <c r="BJ20" i="5"/>
  <c r="K26" i="5"/>
  <c r="AL35" i="5"/>
  <c r="K47" i="5"/>
  <c r="L60" i="5"/>
  <c r="K84" i="5"/>
  <c r="BJ88" i="5"/>
  <c r="AH88" i="5" s="1"/>
  <c r="AP100" i="5"/>
  <c r="BD100" i="5"/>
  <c r="AP20" i="5"/>
  <c r="AX20" i="5" s="1"/>
  <c r="AO20" i="5"/>
  <c r="J20" i="5" s="1"/>
  <c r="BD20" i="5"/>
  <c r="AX35" i="5"/>
  <c r="O35" i="5"/>
  <c r="BF35" i="5" s="1"/>
  <c r="K35" i="5"/>
  <c r="BJ35" i="5"/>
  <c r="BI41" i="5"/>
  <c r="AC41" i="5" s="1"/>
  <c r="K41" i="5"/>
  <c r="O47" i="5"/>
  <c r="BF47" i="5" s="1"/>
  <c r="AL55" i="5"/>
  <c r="AU54" i="5" s="1"/>
  <c r="O59" i="5"/>
  <c r="BF60" i="5"/>
  <c r="AL73" i="5"/>
  <c r="AX73" i="5"/>
  <c r="AV80" i="5"/>
  <c r="O84" i="5"/>
  <c r="BF84" i="5" s="1"/>
  <c r="BJ84" i="5"/>
  <c r="AH84" i="5" s="1"/>
  <c r="BI17" i="5"/>
  <c r="AC17" i="5" s="1"/>
  <c r="K17" i="5"/>
  <c r="C16" i="3"/>
  <c r="L20" i="5"/>
  <c r="J41" i="5"/>
  <c r="AW41" i="5"/>
  <c r="BH47" i="5"/>
  <c r="AB47" i="5" s="1"/>
  <c r="M73" i="5"/>
  <c r="J80" i="5"/>
  <c r="O20" i="5"/>
  <c r="AX41" i="5"/>
  <c r="BJ47" i="5"/>
  <c r="BH80" i="5"/>
  <c r="AX86" i="5"/>
  <c r="O86" i="5"/>
  <c r="BF86" i="5" s="1"/>
  <c r="K86" i="5"/>
  <c r="BJ86" i="5"/>
  <c r="AH86" i="5" s="1"/>
  <c r="BI86" i="5"/>
  <c r="AO86" i="5"/>
  <c r="BF100" i="5"/>
  <c r="AP102" i="5"/>
  <c r="O14" i="5"/>
  <c r="O26" i="5"/>
  <c r="BF26" i="5" s="1"/>
  <c r="O68" i="5"/>
  <c r="AO76" i="5"/>
  <c r="J76" i="5" s="1"/>
  <c r="O80" i="5"/>
  <c r="BF80" i="5" s="1"/>
  <c r="AL108" i="5"/>
  <c r="AP76" i="5"/>
  <c r="K76" i="5" s="1"/>
  <c r="AO108" i="5"/>
  <c r="AW108" i="5" s="1"/>
  <c r="AP108" i="5"/>
  <c r="AX108" i="5" s="1"/>
  <c r="BJ100" i="5"/>
  <c r="AH100" i="5" s="1"/>
  <c r="K106" i="5"/>
  <c r="O108" i="5"/>
  <c r="BF108" i="5" s="1"/>
  <c r="O97" i="5"/>
  <c r="M104" i="5" l="1"/>
  <c r="L99" i="5"/>
  <c r="BH78" i="5"/>
  <c r="AW78" i="5"/>
  <c r="BI78" i="5"/>
  <c r="M55" i="5"/>
  <c r="J38" i="5"/>
  <c r="K38" i="5"/>
  <c r="J32" i="5"/>
  <c r="M26" i="5"/>
  <c r="BC26" i="5"/>
  <c r="AW55" i="5"/>
  <c r="J55" i="5"/>
  <c r="J54" i="5" s="1"/>
  <c r="AV88" i="5"/>
  <c r="L72" i="5"/>
  <c r="M86" i="5"/>
  <c r="M100" i="5"/>
  <c r="J60" i="5"/>
  <c r="M82" i="5"/>
  <c r="AW60" i="5"/>
  <c r="J64" i="5"/>
  <c r="J63" i="5" s="1"/>
  <c r="J17" i="5"/>
  <c r="AL41" i="5"/>
  <c r="M41" i="5"/>
  <c r="AX92" i="5"/>
  <c r="BH92" i="5"/>
  <c r="AB92" i="5" s="1"/>
  <c r="AW82" i="5"/>
  <c r="BC82" i="5" s="1"/>
  <c r="BI38" i="5"/>
  <c r="AC38" i="5" s="1"/>
  <c r="AW32" i="5"/>
  <c r="BC32" i="5" s="1"/>
  <c r="AW76" i="5"/>
  <c r="BH23" i="5"/>
  <c r="AB23" i="5" s="1"/>
  <c r="BC38" i="5"/>
  <c r="AL14" i="5"/>
  <c r="AU13" i="5" s="1"/>
  <c r="M14" i="5"/>
  <c r="M13" i="5" s="1"/>
  <c r="L13" i="5"/>
  <c r="M17" i="5"/>
  <c r="J106" i="5"/>
  <c r="BH106" i="5"/>
  <c r="AX94" i="5"/>
  <c r="BC94" i="5" s="1"/>
  <c r="K94" i="5"/>
  <c r="M68" i="5"/>
  <c r="M67" i="5" s="1"/>
  <c r="AX29" i="5"/>
  <c r="BH35" i="5"/>
  <c r="AB35" i="5" s="1"/>
  <c r="BH82" i="5"/>
  <c r="AL68" i="5"/>
  <c r="AU67" i="5" s="1"/>
  <c r="BI29" i="5"/>
  <c r="AC29" i="5" s="1"/>
  <c r="AV17" i="5"/>
  <c r="AW35" i="5"/>
  <c r="J92" i="5"/>
  <c r="J91" i="5" s="1"/>
  <c r="K104" i="5"/>
  <c r="AW51" i="5"/>
  <c r="K92" i="5"/>
  <c r="AX104" i="5"/>
  <c r="BC104" i="5" s="1"/>
  <c r="AW44" i="5"/>
  <c r="AV44" i="5" s="1"/>
  <c r="BH17" i="5"/>
  <c r="AB17" i="5" s="1"/>
  <c r="BI94" i="5"/>
  <c r="AC94" i="5" s="1"/>
  <c r="BH51" i="5"/>
  <c r="AB51" i="5" s="1"/>
  <c r="AL106" i="5"/>
  <c r="M106" i="5"/>
  <c r="AW106" i="5"/>
  <c r="BH73" i="5"/>
  <c r="AW73" i="5"/>
  <c r="BC73" i="5" s="1"/>
  <c r="J73" i="5"/>
  <c r="J93" i="1"/>
  <c r="C20" i="3"/>
  <c r="K68" i="5"/>
  <c r="BI68" i="5"/>
  <c r="AW68" i="5"/>
  <c r="AV68" i="5" s="1"/>
  <c r="J68" i="5"/>
  <c r="BH68" i="5"/>
  <c r="BC108" i="5"/>
  <c r="AV108" i="5"/>
  <c r="K108" i="5"/>
  <c r="BI100" i="5"/>
  <c r="AX100" i="5"/>
  <c r="AV100" i="5" s="1"/>
  <c r="M64" i="5"/>
  <c r="AL64" i="5"/>
  <c r="AU63" i="5" s="1"/>
  <c r="L63" i="5"/>
  <c r="L96" i="5"/>
  <c r="M97" i="5"/>
  <c r="AL97" i="5"/>
  <c r="AU96" i="5" s="1"/>
  <c r="AX55" i="5"/>
  <c r="BC55" i="5" s="1"/>
  <c r="J108" i="5"/>
  <c r="BI44" i="5"/>
  <c r="AC44" i="5" s="1"/>
  <c r="O63" i="5"/>
  <c r="BF64" i="5"/>
  <c r="AL29" i="5"/>
  <c r="M29" i="5"/>
  <c r="K91" i="5"/>
  <c r="M47" i="5"/>
  <c r="AL47" i="5"/>
  <c r="BF55" i="5"/>
  <c r="O54" i="5"/>
  <c r="K55" i="5"/>
  <c r="BI108" i="5"/>
  <c r="M60" i="5"/>
  <c r="AL60" i="5"/>
  <c r="AU59" i="5" s="1"/>
  <c r="L59" i="5"/>
  <c r="K50" i="5"/>
  <c r="L91" i="5"/>
  <c r="M92" i="5"/>
  <c r="AL92" i="5"/>
  <c r="K100" i="5"/>
  <c r="BH20" i="5"/>
  <c r="AB20" i="5" s="1"/>
  <c r="BF51" i="5"/>
  <c r="O50" i="5"/>
  <c r="BC47" i="5"/>
  <c r="AV47" i="5"/>
  <c r="BF92" i="5"/>
  <c r="O91" i="5"/>
  <c r="J44" i="5"/>
  <c r="M102" i="5"/>
  <c r="AL102" i="5"/>
  <c r="BC88" i="5"/>
  <c r="M54" i="5"/>
  <c r="BI47" i="5"/>
  <c r="AC47" i="5" s="1"/>
  <c r="K44" i="5"/>
  <c r="BC97" i="5"/>
  <c r="AV97" i="5"/>
  <c r="AV84" i="5"/>
  <c r="BC84" i="5"/>
  <c r="M20" i="5"/>
  <c r="AL20" i="5"/>
  <c r="K97" i="5"/>
  <c r="BI97" i="5"/>
  <c r="L16" i="5"/>
  <c r="M23" i="5"/>
  <c r="AL23" i="5"/>
  <c r="BH108" i="5"/>
  <c r="M44" i="5"/>
  <c r="AL44" i="5"/>
  <c r="BH29" i="5"/>
  <c r="AB29" i="5" s="1"/>
  <c r="AW29" i="5"/>
  <c r="AW23" i="5"/>
  <c r="K59" i="5"/>
  <c r="M94" i="5"/>
  <c r="AL94" i="5"/>
  <c r="K20" i="5"/>
  <c r="BC14" i="5"/>
  <c r="AV14" i="5"/>
  <c r="BC92" i="5"/>
  <c r="AV92" i="5"/>
  <c r="BI82" i="5"/>
  <c r="AX76" i="5"/>
  <c r="J13" i="5"/>
  <c r="J59" i="5"/>
  <c r="BI20" i="5"/>
  <c r="AC20" i="5" s="1"/>
  <c r="AW20" i="5"/>
  <c r="O99" i="5"/>
  <c r="BF20" i="5"/>
  <c r="O16" i="5"/>
  <c r="BI60" i="5"/>
  <c r="AX60" i="5"/>
  <c r="M88" i="5"/>
  <c r="AL88" i="5"/>
  <c r="K78" i="5"/>
  <c r="BI76" i="5"/>
  <c r="BH76" i="5"/>
  <c r="BH97" i="5"/>
  <c r="AX102" i="5"/>
  <c r="BI102" i="5"/>
  <c r="K102" i="5"/>
  <c r="M78" i="5"/>
  <c r="AL78" i="5"/>
  <c r="M32" i="5"/>
  <c r="AL32" i="5"/>
  <c r="BF76" i="5"/>
  <c r="O72" i="5"/>
  <c r="M76" i="5"/>
  <c r="AL76" i="5"/>
  <c r="K82" i="5"/>
  <c r="J11" i="1"/>
  <c r="J50" i="5"/>
  <c r="K63" i="5"/>
  <c r="BC41" i="5"/>
  <c r="AV41" i="5"/>
  <c r="M51" i="5"/>
  <c r="AL51" i="5"/>
  <c r="AU50" i="5" s="1"/>
  <c r="L50" i="5"/>
  <c r="BF68" i="5"/>
  <c r="O67" i="5"/>
  <c r="BF97" i="5"/>
  <c r="O96" i="5"/>
  <c r="M38" i="5"/>
  <c r="AL38" i="5"/>
  <c r="BF14" i="5"/>
  <c r="O13" i="5"/>
  <c r="BC35" i="5"/>
  <c r="AV35" i="5"/>
  <c r="BH86" i="5"/>
  <c r="AW86" i="5"/>
  <c r="J86" i="5"/>
  <c r="AV51" i="5"/>
  <c r="BC51" i="5"/>
  <c r="J97" i="5"/>
  <c r="M84" i="5"/>
  <c r="AL84" i="5"/>
  <c r="BC78" i="5"/>
  <c r="AV78" i="5"/>
  <c r="BC64" i="5"/>
  <c r="AV64" i="5"/>
  <c r="AW102" i="5"/>
  <c r="J102" i="5"/>
  <c r="BH102" i="5"/>
  <c r="M99" i="5" l="1"/>
  <c r="L90" i="5"/>
  <c r="AU91" i="5"/>
  <c r="AV94" i="5"/>
  <c r="AU72" i="5"/>
  <c r="K72" i="5"/>
  <c r="BC68" i="5"/>
  <c r="C14" i="3"/>
  <c r="C29" i="3"/>
  <c r="F29" i="3" s="1"/>
  <c r="BC60" i="5"/>
  <c r="M16" i="5"/>
  <c r="AV82" i="5"/>
  <c r="BC76" i="5"/>
  <c r="AV32" i="5"/>
  <c r="K16" i="5"/>
  <c r="AV104" i="5"/>
  <c r="AV106" i="5"/>
  <c r="BC106" i="5"/>
  <c r="AU99" i="5"/>
  <c r="AV55" i="5"/>
  <c r="BC44" i="5"/>
  <c r="AU16" i="5"/>
  <c r="C15" i="3"/>
  <c r="AV73" i="5"/>
  <c r="J67" i="5"/>
  <c r="K67" i="5"/>
  <c r="K99" i="5"/>
  <c r="M63" i="5"/>
  <c r="M91" i="5"/>
  <c r="AV60" i="5"/>
  <c r="BC100" i="5"/>
  <c r="M72" i="5"/>
  <c r="O12" i="5"/>
  <c r="J96" i="5"/>
  <c r="J99" i="5"/>
  <c r="L12" i="5"/>
  <c r="L110" i="5"/>
  <c r="K54" i="5"/>
  <c r="AV76" i="5"/>
  <c r="BC23" i="5"/>
  <c r="AV23" i="5"/>
  <c r="AV29" i="5"/>
  <c r="BC29" i="5"/>
  <c r="M96" i="5"/>
  <c r="M50" i="5"/>
  <c r="O90" i="5"/>
  <c r="J16" i="5"/>
  <c r="BC20" i="5"/>
  <c r="AV20" i="5"/>
  <c r="BC102" i="5"/>
  <c r="AV102" i="5"/>
  <c r="K96" i="5"/>
  <c r="J72" i="5"/>
  <c r="BC86" i="5"/>
  <c r="AV86" i="5"/>
  <c r="M59" i="5"/>
  <c r="C22" i="3" l="1"/>
  <c r="I28" i="3"/>
  <c r="J12" i="5"/>
  <c r="K90" i="5"/>
  <c r="K12" i="5"/>
  <c r="M110" i="5"/>
  <c r="J90" i="5"/>
  <c r="I29" i="3"/>
  <c r="M12" i="5"/>
  <c r="M90" i="5"/>
</calcChain>
</file>

<file path=xl/sharedStrings.xml><?xml version="1.0" encoding="utf-8"?>
<sst xmlns="http://schemas.openxmlformats.org/spreadsheetml/2006/main" count="1339" uniqueCount="308">
  <si>
    <t>Stavební rozpočet</t>
  </si>
  <si>
    <t>Název stavby:</t>
  </si>
  <si>
    <t>Doba výstavby:</t>
  </si>
  <si>
    <t>Objednatel:</t>
  </si>
  <si>
    <t>Druh stavby:</t>
  </si>
  <si>
    <t>Začátek výstavby: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</si>
  <si>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</si>
  <si>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</si>
  <si>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</si>
  <si>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</si>
  <si>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</si>
  <si>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</si>
  <si>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</si>
  <si>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</si>
  <si>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</si>
  <si>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</si>
  <si>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</si>
  <si>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MJ</t>
  </si>
  <si>
    <t>Sazba DPH</t>
  </si>
  <si>
    <t>Množství</t>
  </si>
  <si>
    <t>Jednotková cena (Kč)</t>
  </si>
  <si>
    <t>Náklady celkem (Kč)</t>
  </si>
  <si>
    <t>Cenová soustava</t>
  </si>
  <si>
    <t>GROUPCODE</t>
  </si>
  <si>
    <t>ISWORK</t>
  </si>
  <si>
    <t xml:space="preserve"> </t>
  </si>
  <si>
    <t>SO01</t>
  </si>
  <si>
    <t/>
  </si>
  <si>
    <t>Povrchové úpravy terénu</t>
  </si>
  <si>
    <t>12</t>
  </si>
  <si>
    <t>Odkopávky a prokopávky</t>
  </si>
  <si>
    <t>122201101R00</t>
  </si>
  <si>
    <t>Odkopávky nezapažené v hor. 3 do 100 m3</t>
  </si>
  <si>
    <t>m3</t>
  </si>
  <si>
    <t>RTS I / 2025</t>
  </si>
  <si>
    <t>P</t>
  </si>
  <si>
    <t>18</t>
  </si>
  <si>
    <t>181300014RA0</t>
  </si>
  <si>
    <t>Rozprostření ornice v rovině tloušťka 300 mm</t>
  </si>
  <si>
    <t>m2</t>
  </si>
  <si>
    <t>Poznámka:</t>
  </si>
  <si>
    <t>31   plocha všech záhonů/výměna půdy</t>
  </si>
  <si>
    <t>183101315R00</t>
  </si>
  <si>
    <t>Hloub. jamek s výměnou 100% půdy do 0,4 m3 sv.1:5</t>
  </si>
  <si>
    <t>kus</t>
  </si>
  <si>
    <t>3   stromy</t>
  </si>
  <si>
    <t>183205113R00</t>
  </si>
  <si>
    <t>Založení záhonu v rovině/svah 1 : 5, hor. 4</t>
  </si>
  <si>
    <t>31   plocha nově založených záhonů</t>
  </si>
  <si>
    <t>184102115R00</t>
  </si>
  <si>
    <t>Výsadba dřevin s balem D do 60 cm, v rovině</t>
  </si>
  <si>
    <t>184202112R00</t>
  </si>
  <si>
    <t>Ukotvení dřeviny kůly D do 10 cm, dl. do 3 m</t>
  </si>
  <si>
    <t>183101213R00</t>
  </si>
  <si>
    <t>Hloub. jamek s výměnou 50% půdy do 0,05 m3, 1:5</t>
  </si>
  <si>
    <t>30   Deutzia gracillis
15   Philadelphus x lemoneii
10   Euonymus alatus</t>
  </si>
  <si>
    <t>184102111R00</t>
  </si>
  <si>
    <t>Výsadba dřevin s balem D do 20 cm, v rovině</t>
  </si>
  <si>
    <t>184921093R00</t>
  </si>
  <si>
    <t>Mulčování rostlin tl. do 0,1 m rovina</t>
  </si>
  <si>
    <t>31   plochy záhonů</t>
  </si>
  <si>
    <t>184501111R00</t>
  </si>
  <si>
    <t>Zhotovení obalu kmene ze štípaného bambusu , v rovině D + M</t>
  </si>
  <si>
    <t>3</t>
  </si>
  <si>
    <t>185804312R00</t>
  </si>
  <si>
    <t>Zalití rostlin vodou plochy nad 20 m2</t>
  </si>
  <si>
    <t>3*0,1
31*0,050</t>
  </si>
  <si>
    <t>185851111R00</t>
  </si>
  <si>
    <t>Dovoz vody pro zálivku rostlin do 6 km</t>
  </si>
  <si>
    <t>1,85</t>
  </si>
  <si>
    <t>56</t>
  </si>
  <si>
    <t>Podkladní vrstvy komunikací, letišť a ploch</t>
  </si>
  <si>
    <t>564821111R00</t>
  </si>
  <si>
    <t>Podklad ze štěrku fr 4/8  tloušťky 8 cm D + M</t>
  </si>
  <si>
    <t>83,5*0,20</t>
  </si>
  <si>
    <t>91</t>
  </si>
  <si>
    <t>Doplňující konstrukce a práce na pozemních komunikacích a zpevněných plochách</t>
  </si>
  <si>
    <t>916661111RT3</t>
  </si>
  <si>
    <t>Osazení dřevěného obrubníků z akátové kulatiny do štěrkového lože včetně dodání akátové kulatiny</t>
  </si>
  <si>
    <t>m</t>
  </si>
  <si>
    <t>62   obvod hřiště
21,5   obvod okrasných záhonů</t>
  </si>
  <si>
    <t>RTS komentář:</t>
  </si>
  <si>
    <t>Část lože přesahující 10 cm se oceňuje položkou 918 10-1111 Lože pod obrubníky, krajníky nebo obruby</t>
  </si>
  <si>
    <t>H333VD</t>
  </si>
  <si>
    <t>Přesun hmot</t>
  </si>
  <si>
    <t>333VD</t>
  </si>
  <si>
    <t>Přesun hmot pro zahradní a krajinářskou architekturu</t>
  </si>
  <si>
    <t>KPL</t>
  </si>
  <si>
    <t>1</t>
  </si>
  <si>
    <t>M46</t>
  </si>
  <si>
    <t>Zemní práce při montážích</t>
  </si>
  <si>
    <t>460600001R00</t>
  </si>
  <si>
    <t>Naložení a odvoz výkopku</t>
  </si>
  <si>
    <t>72,6   vykopaná směs zeminy a stavebních zbytků</t>
  </si>
  <si>
    <t>S</t>
  </si>
  <si>
    <t>Přesuny sutí</t>
  </si>
  <si>
    <t>979999974R00</t>
  </si>
  <si>
    <t>Poplatek za uložení, zemina a kamení s příměsí 5 % (cihla, beton), (skup.170504)</t>
  </si>
  <si>
    <t>t</t>
  </si>
  <si>
    <t>72,6*1,8</t>
  </si>
  <si>
    <t>Thermoservis - transport s.r.o. Roviny 4 643 00 Brno – Chrlice, ČR IČ: 269 12 643 DIČ: CZ 269 12 64</t>
  </si>
  <si>
    <t>M</t>
  </si>
  <si>
    <t>Ostatní materiál</t>
  </si>
  <si>
    <t>5832012</t>
  </si>
  <si>
    <t>Zemina zahradní, tříděná 0/8</t>
  </si>
  <si>
    <t>Z99999</t>
  </si>
  <si>
    <t>31*0,30*2</t>
  </si>
  <si>
    <t>Vhodná k úpravě zahrad, parků</t>
  </si>
  <si>
    <t>001VMVD</t>
  </si>
  <si>
    <t>Kotvící kůl s fazetou a špicí D kůlu 8 cm</t>
  </si>
  <si>
    <t>ks</t>
  </si>
  <si>
    <t>3*3   kotvení stromu</t>
  </si>
  <si>
    <t>0012VD</t>
  </si>
  <si>
    <t>Příčka z půlené kulatiny D příčky 7 cm</t>
  </si>
  <si>
    <t>3*12</t>
  </si>
  <si>
    <t>10391100</t>
  </si>
  <si>
    <t>Kůra mulčovací VL</t>
  </si>
  <si>
    <t>31*0,10</t>
  </si>
  <si>
    <t>111R02VD</t>
  </si>
  <si>
    <t>Acer campestre ´Elsrijk´ ok 12/14, bal</t>
  </si>
  <si>
    <t>3   stromy v záhonech</t>
  </si>
  <si>
    <t>111R03VD</t>
  </si>
  <si>
    <t>Deutzia gracillis</t>
  </si>
  <si>
    <t>30</t>
  </si>
  <si>
    <t>111R04VD</t>
  </si>
  <si>
    <t>Philadelphus x  lemoneii</t>
  </si>
  <si>
    <t>15</t>
  </si>
  <si>
    <t>111R05VD</t>
  </si>
  <si>
    <t>Euonymus alatus</t>
  </si>
  <si>
    <t>10</t>
  </si>
  <si>
    <t>SO02</t>
  </si>
  <si>
    <t>Herní prvky</t>
  </si>
  <si>
    <t>184921096R00</t>
  </si>
  <si>
    <t>Mulčování dopadové plochy dřevní štěpkou tl. do 0,30 m rovina</t>
  </si>
  <si>
    <t>55+47</t>
  </si>
  <si>
    <t>Mulčování dopadové plochy dřevní štěpkou tl. do 0,1 m rovina</t>
  </si>
  <si>
    <t>356-55-47-31</t>
  </si>
  <si>
    <t>H766</t>
  </si>
  <si>
    <t>Konstrukce truhlářské</t>
  </si>
  <si>
    <t>998766101R00</t>
  </si>
  <si>
    <t>Přesun hmot pro truhlářské konstr., výšky do 6 m</t>
  </si>
  <si>
    <t>222R01VD</t>
  </si>
  <si>
    <t>HP 01 Houpačka trojmístná D + M</t>
  </si>
  <si>
    <t>kompletní dodávka včetně výkopu patek a zabetonování patek</t>
  </si>
  <si>
    <t>22201VD</t>
  </si>
  <si>
    <t>HP 02 Nerezové otáčedlo D + M</t>
  </si>
  <si>
    <t>22202VD</t>
  </si>
  <si>
    <t>HP 03 Překážková dráha</t>
  </si>
  <si>
    <t>22203VD</t>
  </si>
  <si>
    <t>HP 04 Dvouvěžová sestava D + M</t>
  </si>
  <si>
    <t>001AVD</t>
  </si>
  <si>
    <t>Papírenská štěpka včetně dovozu</t>
  </si>
  <si>
    <t>103*0,30+223*0,1</t>
  </si>
  <si>
    <t>Celkem:</t>
  </si>
  <si>
    <t>Cena/MJ</t>
  </si>
  <si>
    <t>Náklady (Kč)</t>
  </si>
  <si>
    <t>Hmotnost (t)</t>
  </si>
  <si>
    <t>Cenová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</si>
  <si>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</si>
  <si>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</si>
  <si>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</si>
  <si>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</si>
  <si>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</si>
  <si>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</si>
  <si>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</si>
  <si>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</si>
  <si>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</si>
  <si>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</si>
  <si>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</si>
  <si>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</si>
  <si>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</si>
  <si>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</si>
  <si>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</si>
  <si>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</si>
  <si>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</si>
  <si>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</si>
  <si>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</si>
  <si>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</si>
  <si>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</si>
  <si>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12_</t>
  </si>
  <si>
    <t>SO01_1_</t>
  </si>
  <si>
    <t>SO01_</t>
  </si>
  <si>
    <t>Varianta:</t>
  </si>
  <si>
    <t xml:space="preserve">355*0,10   srovnání plochy hřiště
103*0,30   dopadové plochy HOUPAČKA  + SESTAVA
31*0,20   okrasné záhony rostlin
</t>
  </si>
  <si>
    <t>2</t>
  </si>
  <si>
    <t>18_</t>
  </si>
  <si>
    <t>4</t>
  </si>
  <si>
    <t>5</t>
  </si>
  <si>
    <t>6</t>
  </si>
  <si>
    <t>7</t>
  </si>
  <si>
    <t>8</t>
  </si>
  <si>
    <t>9</t>
  </si>
  <si>
    <t>11</t>
  </si>
  <si>
    <t>13</t>
  </si>
  <si>
    <t>56_</t>
  </si>
  <si>
    <t>SO01_5_</t>
  </si>
  <si>
    <t>14</t>
  </si>
  <si>
    <t>91_</t>
  </si>
  <si>
    <t>SO01_9_</t>
  </si>
  <si>
    <t>H333VD_</t>
  </si>
  <si>
    <t>16</t>
  </si>
  <si>
    <t>M46_</t>
  </si>
  <si>
    <t>17</t>
  </si>
  <si>
    <t>S_</t>
  </si>
  <si>
    <t>0</t>
  </si>
  <si>
    <t>Z99999_</t>
  </si>
  <si>
    <t>SO01_Z_</t>
  </si>
  <si>
    <t>19</t>
  </si>
  <si>
    <t>20</t>
  </si>
  <si>
    <t>21</t>
  </si>
  <si>
    <t>22</t>
  </si>
  <si>
    <t>23</t>
  </si>
  <si>
    <t>24</t>
  </si>
  <si>
    <t>25</t>
  </si>
  <si>
    <t>26</t>
  </si>
  <si>
    <t>SO02_1_</t>
  </si>
  <si>
    <t>SO02_</t>
  </si>
  <si>
    <t>27</t>
  </si>
  <si>
    <t>28</t>
  </si>
  <si>
    <t>H766_</t>
  </si>
  <si>
    <t>SO02_9_</t>
  </si>
  <si>
    <t>29</t>
  </si>
  <si>
    <t>SO02_Z_</t>
  </si>
  <si>
    <t>31</t>
  </si>
  <si>
    <t>32</t>
  </si>
  <si>
    <t>33</t>
  </si>
  <si>
    <t>Krycí list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</si>
  <si>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</si>
  <si>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</si>
  <si>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</si>
  <si>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</si>
  <si>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</si>
  <si>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</si>
  <si>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</si>
  <si>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</si>
  <si>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</si>
  <si>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</si>
  <si>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</si>
  <si>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</si>
  <si>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</si>
  <si>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</si>
  <si>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</si>
  <si>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</si>
  <si>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</si>
  <si>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</si>
  <si>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</si>
  <si>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</si>
  <si>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</si>
  <si>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</si>
  <si>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</si>
  <si>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</si>
  <si>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</si>
  <si>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</si>
  <si>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</si>
  <si>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</si>
  <si>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</si>
  <si>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</si>
  <si>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</si>
  <si>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</si>
  <si>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</si>
  <si>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</si>
  <si>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</si>
  <si>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</si>
  <si>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</si>
  <si>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</si>
  <si>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</si>
  <si>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</si>
  <si>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</si>
  <si>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</si>
  <si>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</si>
  <si>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</si>
  <si>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</si>
  <si>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</si>
  <si>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</si>
  <si>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</si>
  <si>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</si>
  <si>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</si>
  <si>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</si>
  <si>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</si>
  <si>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</si>
  <si>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</si>
  <si>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Nové hřiště v Hrubšicích etapa I.</t>
  </si>
  <si>
    <t> </t>
  </si>
  <si>
    <t>18.09.2025</t>
  </si>
  <si>
    <t>k.ú. Hrubšice</t>
  </si>
  <si>
    <t>Ing.Jiří Dvořák</t>
  </si>
  <si>
    <t>Deutzia gracillis K2l 30/40</t>
  </si>
  <si>
    <t>Philadelphus x  lemoneii K2l 30/40</t>
  </si>
  <si>
    <t>Euonymus alatus K5l 30/40</t>
  </si>
  <si>
    <t>Ing.Bc.Petra Dermeková</t>
  </si>
  <si>
    <t>Město Ivančice</t>
  </si>
  <si>
    <t>281859/CZ00281859</t>
  </si>
  <si>
    <t>soub.</t>
  </si>
  <si>
    <t>vlastní</t>
  </si>
  <si>
    <t>31*0,30*2 výplň okrasných záhonů</t>
  </si>
  <si>
    <t>výstupní revize je součásti ceny každého  prvku</t>
  </si>
  <si>
    <t>Pozn.: geodetické vytyčení přesné polohy hřiště před započetím prací není součástí rozpočtu, zajistí objednatel</t>
  </si>
  <si>
    <t xml:space="preserve">Ukotvení dřeviny kůly D do 10 cm, dl. do 3 m </t>
  </si>
  <si>
    <t>vytyčení sítí zajistí objednatel</t>
  </si>
  <si>
    <r>
      <rPr>
        <sz val="10"/>
        <color theme="7" tint="-0.249977111117893"/>
        <rFont val="Arial"/>
        <family val="2"/>
        <charset val="238"/>
      </rPr>
      <t>HP 01</t>
    </r>
    <r>
      <rPr>
        <sz val="10"/>
        <color rgb="FF000000"/>
        <rFont val="Arial"/>
        <family val="2"/>
        <charset val="238"/>
      </rPr>
      <t xml:space="preserve"> Dvouvěžová sestava D + M </t>
    </r>
    <r>
      <rPr>
        <sz val="10"/>
        <rFont val="Arial"/>
        <family val="2"/>
        <charset val="238"/>
      </rPr>
      <t>/</t>
    </r>
    <r>
      <rPr>
        <sz val="10"/>
        <color theme="7" tint="-0.249977111117893"/>
        <rFont val="Arial"/>
        <family val="2"/>
        <charset val="238"/>
      </rPr>
      <t xml:space="preserve"> číslo prvku v půdorysu</t>
    </r>
  </si>
  <si>
    <t>83,5*0,20 podsyp ze štěrku pod akátovou obrubu</t>
  </si>
  <si>
    <t>Dopadové plochy</t>
  </si>
  <si>
    <t>Přesun hmot pro herní prvky</t>
  </si>
  <si>
    <t>Nové hřiště v Hrubšicích - etapa I. PODZIM 2025</t>
  </si>
  <si>
    <t>Stavební rozpočet - SLEPÝ</t>
  </si>
  <si>
    <r>
      <rPr>
        <sz val="10"/>
        <color theme="7" tint="-0.249977111117893"/>
        <rFont val="Arial"/>
        <family val="2"/>
        <charset val="238"/>
      </rPr>
      <t>HP 02</t>
    </r>
    <r>
      <rPr>
        <sz val="10"/>
        <color rgb="FF000000"/>
        <rFont val="Arial"/>
        <family val="2"/>
        <charset val="238"/>
      </rPr>
      <t xml:space="preserve"> Houpačka trojmístná D + M / </t>
    </r>
    <r>
      <rPr>
        <i/>
        <sz val="10"/>
        <color theme="7" tint="-0.249977111117893"/>
        <rFont val="Arial"/>
        <family val="2"/>
        <charset val="238"/>
      </rPr>
      <t>číslo prvku v půdorysu</t>
    </r>
  </si>
  <si>
    <r>
      <rPr>
        <sz val="10"/>
        <color theme="7" tint="-0.249977111117893"/>
        <rFont val="Arial"/>
        <family val="2"/>
        <charset val="238"/>
      </rPr>
      <t>HP 03</t>
    </r>
    <r>
      <rPr>
        <sz val="10"/>
        <color rgb="FF000000"/>
        <rFont val="Arial"/>
        <family val="2"/>
        <charset val="238"/>
      </rPr>
      <t xml:space="preserve"> Nerezové otáčedlo D + M</t>
    </r>
    <r>
      <rPr>
        <sz val="10"/>
        <rFont val="Arial"/>
        <family val="2"/>
        <charset val="238"/>
      </rPr>
      <t xml:space="preserve"> /</t>
    </r>
    <r>
      <rPr>
        <sz val="10"/>
        <color theme="7" tint="-0.249977111117893"/>
        <rFont val="Arial"/>
        <family val="2"/>
        <charset val="238"/>
      </rPr>
      <t xml:space="preserve"> číslo prvku v půdorysu</t>
    </r>
  </si>
  <si>
    <r>
      <rPr>
        <sz val="10"/>
        <color theme="7" tint="-0.249977111117893"/>
        <rFont val="Arial"/>
        <family val="2"/>
        <charset val="238"/>
      </rPr>
      <t>HP 04</t>
    </r>
    <r>
      <rPr>
        <sz val="10"/>
        <color rgb="FF000000"/>
        <rFont val="Arial"/>
        <family val="2"/>
        <charset val="238"/>
      </rPr>
      <t xml:space="preserve"> Překážková dráha </t>
    </r>
    <r>
      <rPr>
        <sz val="10"/>
        <rFont val="Arial"/>
        <family val="2"/>
        <charset val="238"/>
      </rPr>
      <t>/</t>
    </r>
    <r>
      <rPr>
        <sz val="10"/>
        <color theme="7" tint="-0.249977111117893"/>
        <rFont val="Arial"/>
        <family val="2"/>
        <charset val="238"/>
      </rPr>
      <t xml:space="preserve"> číslo prvku v půdorysu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</si>
</sst>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0"/>
      <color theme="4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4"/>
      <name val="Calibri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theme="7" tint="-0.249977111117893"/>
      <name val="Arial"/>
      <family val="2"/>
      <charset val="238"/>
    </font>
    <font>
      <sz val="10"/>
      <color theme="7" tint="-0.249977111117893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C0C0C0"/>
        <bgColor rgb="FFC0C0C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8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right" vertical="center"/>
    </xf>
    <xf numFmtId="4" fontId="3" fillId="3" borderId="15" xfId="0" applyNumberFormat="1" applyFont="1" applyFill="1" applyBorder="1" applyAlignment="1">
      <alignment horizontal="right" vertical="center"/>
    </xf>
    <xf numFmtId="0" fontId="3" fillId="3" borderId="16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right" vertical="center"/>
    </xf>
    <xf numFmtId="4" fontId="3" fillId="3" borderId="0" xfId="0" applyNumberFormat="1" applyFont="1" applyFill="1" applyAlignment="1">
      <alignment horizontal="right" vertical="center"/>
    </xf>
    <xf numFmtId="0" fontId="3" fillId="3" borderId="6" xfId="0" applyFont="1" applyFill="1" applyBorder="1" applyAlignment="1">
      <alignment horizontal="left" vertical="center"/>
    </xf>
    <xf numFmtId="1" fontId="2" fillId="0" borderId="5" xfId="0" applyNumberFormat="1" applyFont="1" applyBorder="1" applyAlignment="1">
      <alignment horizontal="left" vertical="center"/>
    </xf>
    <xf numFmtId="1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33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3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2" fillId="3" borderId="14" xfId="0" applyFont="1" applyFill="1" applyBorder="1" applyAlignment="1">
      <alignment horizontal="left" vertical="center"/>
    </xf>
    <xf numFmtId="0" fontId="2" fillId="3" borderId="15" xfId="0" applyFont="1" applyFill="1" applyBorder="1" applyAlignment="1">
      <alignment horizontal="left" vertical="center"/>
    </xf>
    <xf numFmtId="0" fontId="3" fillId="3" borderId="16" xfId="0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3" fillId="3" borderId="6" xfId="0" applyFont="1" applyFill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0" fillId="0" borderId="5" xfId="0" applyBorder="1"/>
    <xf numFmtId="0" fontId="0" fillId="0" borderId="7" xfId="0" applyBorder="1"/>
    <xf numFmtId="0" fontId="0" fillId="0" borderId="8" xfId="0" applyBorder="1"/>
    <xf numFmtId="4" fontId="3" fillId="0" borderId="45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7" fillId="3" borderId="47" xfId="0" applyFont="1" applyFill="1" applyBorder="1" applyAlignment="1">
      <alignment horizontal="center" vertical="center"/>
    </xf>
    <xf numFmtId="0" fontId="7" fillId="3" borderId="50" xfId="0" applyFont="1" applyFill="1" applyBorder="1" applyAlignment="1">
      <alignment horizontal="center" vertical="center"/>
    </xf>
    <xf numFmtId="0" fontId="9" fillId="0" borderId="51" xfId="0" applyFont="1" applyBorder="1" applyAlignment="1">
      <alignment horizontal="left" vertical="center"/>
    </xf>
    <xf numFmtId="0" fontId="10" fillId="0" borderId="52" xfId="0" applyFont="1" applyBorder="1" applyAlignment="1">
      <alignment horizontal="left" vertical="center"/>
    </xf>
    <xf numFmtId="4" fontId="10" fillId="0" borderId="52" xfId="0" applyNumberFormat="1" applyFont="1" applyBorder="1" applyAlignment="1">
      <alignment horizontal="right" vertical="center"/>
    </xf>
    <xf numFmtId="0" fontId="9" fillId="0" borderId="55" xfId="0" applyFont="1" applyBorder="1" applyAlignment="1">
      <alignment horizontal="left" vertical="center"/>
    </xf>
    <xf numFmtId="0" fontId="10" fillId="0" borderId="52" xfId="0" applyFont="1" applyBorder="1" applyAlignment="1">
      <alignment horizontal="right" vertical="center"/>
    </xf>
    <xf numFmtId="4" fontId="10" fillId="0" borderId="59" xfId="0" applyNumberFormat="1" applyFont="1" applyBorder="1" applyAlignment="1">
      <alignment horizontal="right" vertical="center"/>
    </xf>
    <xf numFmtId="0" fontId="10" fillId="0" borderId="59" xfId="0" applyFont="1" applyBorder="1" applyAlignment="1">
      <alignment horizontal="right" vertical="center"/>
    </xf>
    <xf numFmtId="4" fontId="10" fillId="0" borderId="50" xfId="0" applyNumberFormat="1" applyFont="1" applyBorder="1" applyAlignment="1">
      <alignment horizontal="right" vertical="center"/>
    </xf>
    <xf numFmtId="4" fontId="10" fillId="0" borderId="39" xfId="0" applyNumberFormat="1" applyFont="1" applyBorder="1" applyAlignment="1">
      <alignment horizontal="right" vertical="center"/>
    </xf>
    <xf numFmtId="4" fontId="9" fillId="3" borderId="49" xfId="0" applyNumberFormat="1" applyFont="1" applyFill="1" applyBorder="1" applyAlignment="1">
      <alignment horizontal="right" vertical="center"/>
    </xf>
    <xf numFmtId="4" fontId="9" fillId="3" borderId="54" xfId="0" applyNumberFormat="1" applyFont="1" applyFill="1" applyBorder="1" applyAlignment="1">
      <alignment horizontal="right" vertical="center"/>
    </xf>
    <xf numFmtId="0" fontId="5" fillId="0" borderId="15" xfId="0" applyFont="1" applyBorder="1" applyAlignment="1">
      <alignment horizontal="left" vertical="center"/>
    </xf>
    <xf numFmtId="0" fontId="3" fillId="0" borderId="29" xfId="0" applyFont="1" applyBorder="1" applyAlignment="1">
      <alignment horizontal="right" vertical="center"/>
    </xf>
    <xf numFmtId="4" fontId="2" fillId="0" borderId="52" xfId="0" applyNumberFormat="1" applyFont="1" applyBorder="1" applyAlignment="1">
      <alignment horizontal="right" vertical="center"/>
    </xf>
    <xf numFmtId="0" fontId="2" fillId="0" borderId="52" xfId="0" applyFont="1" applyBorder="1" applyAlignment="1">
      <alignment horizontal="left" vertical="center"/>
    </xf>
    <xf numFmtId="4" fontId="2" fillId="0" borderId="78" xfId="0" applyNumberFormat="1" applyFont="1" applyBorder="1" applyAlignment="1">
      <alignment horizontal="right" vertical="center"/>
    </xf>
    <xf numFmtId="0" fontId="2" fillId="0" borderId="78" xfId="0" applyFont="1" applyBorder="1" applyAlignment="1">
      <alignment horizontal="left" vertical="center"/>
    </xf>
    <xf numFmtId="0" fontId="3" fillId="0" borderId="82" xfId="0" applyFont="1" applyBorder="1" applyAlignment="1">
      <alignment horizontal="left" vertical="center"/>
    </xf>
    <xf numFmtId="0" fontId="3" fillId="0" borderId="82" xfId="0" applyFont="1" applyBorder="1" applyAlignment="1">
      <alignment horizontal="right" vertical="center"/>
    </xf>
    <xf numFmtId="4" fontId="3" fillId="0" borderId="82" xfId="0" applyNumberFormat="1" applyFont="1" applyBorder="1" applyAlignment="1">
      <alignment horizontal="right" vertical="center"/>
    </xf>
    <xf numFmtId="0" fontId="13" fillId="0" borderId="0" xfId="0" applyFont="1"/>
    <xf numFmtId="0" fontId="14" fillId="0" borderId="0" xfId="0" applyFont="1"/>
    <xf numFmtId="0" fontId="12" fillId="0" borderId="0" xfId="0" applyFont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5" fillId="0" borderId="0" xfId="0" applyFont="1"/>
    <xf numFmtId="0" fontId="3" fillId="4" borderId="10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8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9" fillId="5" borderId="3" xfId="0" applyFont="1" applyFill="1" applyBorder="1" applyAlignment="1">
      <alignment horizontal="left" vertical="center" wrapText="1"/>
    </xf>
    <xf numFmtId="0" fontId="19" fillId="5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/>
    </xf>
    <xf numFmtId="0" fontId="18" fillId="0" borderId="3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8" fillId="3" borderId="0" xfId="0" applyFont="1" applyFill="1" applyAlignment="1">
      <alignment horizontal="left" vertical="center" wrapText="1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11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1" fontId="2" fillId="0" borderId="6" xfId="0" applyNumberFormat="1" applyFont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6" fillId="0" borderId="46" xfId="0" applyFont="1" applyBorder="1" applyAlignment="1">
      <alignment horizontal="center" vertical="center"/>
    </xf>
    <xf numFmtId="0" fontId="8" fillId="0" borderId="48" xfId="0" applyFont="1" applyBorder="1" applyAlignment="1">
      <alignment horizontal="left" vertical="center"/>
    </xf>
    <xf numFmtId="0" fontId="8" fillId="0" borderId="49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0" borderId="54" xfId="0" applyFont="1" applyBorder="1" applyAlignment="1">
      <alignment horizontal="left" vertical="center"/>
    </xf>
    <xf numFmtId="0" fontId="9" fillId="0" borderId="57" xfId="0" applyFont="1" applyBorder="1" applyAlignment="1">
      <alignment horizontal="left" vertical="center"/>
    </xf>
    <xf numFmtId="0" fontId="9" fillId="0" borderId="58" xfId="0" applyFont="1" applyBorder="1" applyAlignment="1">
      <alignment horizontal="left" vertical="center"/>
    </xf>
    <xf numFmtId="0" fontId="9" fillId="0" borderId="61" xfId="0" applyFont="1" applyBorder="1" applyAlignment="1">
      <alignment horizontal="left" vertical="center"/>
    </xf>
    <xf numFmtId="0" fontId="9" fillId="0" borderId="49" xfId="0" applyFont="1" applyBorder="1" applyAlignment="1">
      <alignment horizontal="left" vertical="center"/>
    </xf>
    <xf numFmtId="0" fontId="10" fillId="0" borderId="53" xfId="0" applyFont="1" applyBorder="1" applyAlignment="1">
      <alignment horizontal="left" vertical="center"/>
    </xf>
    <xf numFmtId="0" fontId="10" fillId="0" borderId="54" xfId="0" applyFont="1" applyBorder="1" applyAlignment="1">
      <alignment horizontal="left" vertical="center"/>
    </xf>
    <xf numFmtId="0" fontId="10" fillId="0" borderId="60" xfId="0" applyFont="1" applyBorder="1" applyAlignment="1">
      <alignment horizontal="left" vertical="center"/>
    </xf>
    <xf numFmtId="0" fontId="10" fillId="0" borderId="58" xfId="0" applyFont="1" applyBorder="1" applyAlignment="1">
      <alignment horizontal="left" vertical="center"/>
    </xf>
    <xf numFmtId="0" fontId="9" fillId="0" borderId="48" xfId="0" applyFont="1" applyBorder="1" applyAlignment="1">
      <alignment horizontal="left" vertical="center"/>
    </xf>
    <xf numFmtId="0" fontId="9" fillId="0" borderId="53" xfId="0" applyFont="1" applyBorder="1" applyAlignment="1">
      <alignment horizontal="left" vertical="center"/>
    </xf>
    <xf numFmtId="0" fontId="9" fillId="3" borderId="61" xfId="0" applyFont="1" applyFill="1" applyBorder="1" applyAlignment="1">
      <alignment horizontal="left" vertical="center"/>
    </xf>
    <xf numFmtId="0" fontId="9" fillId="3" borderId="62" xfId="0" applyFont="1" applyFill="1" applyBorder="1" applyAlignment="1">
      <alignment horizontal="left" vertical="center"/>
    </xf>
    <xf numFmtId="0" fontId="9" fillId="3" borderId="56" xfId="0" applyFont="1" applyFill="1" applyBorder="1" applyAlignment="1">
      <alignment horizontal="left" vertical="center"/>
    </xf>
    <xf numFmtId="0" fontId="9" fillId="3" borderId="63" xfId="0" applyFont="1" applyFill="1" applyBorder="1" applyAlignment="1">
      <alignment horizontal="left" vertical="center"/>
    </xf>
    <xf numFmtId="0" fontId="9" fillId="3" borderId="48" xfId="0" applyFont="1" applyFill="1" applyBorder="1" applyAlignment="1">
      <alignment horizontal="left" vertical="center"/>
    </xf>
    <xf numFmtId="0" fontId="9" fillId="3" borderId="53" xfId="0" applyFont="1" applyFill="1" applyBorder="1" applyAlignment="1">
      <alignment horizontal="left" vertical="center"/>
    </xf>
    <xf numFmtId="0" fontId="10" fillId="0" borderId="67" xfId="0" applyFont="1" applyBorder="1" applyAlignment="1">
      <alignment horizontal="left" vertical="center"/>
    </xf>
    <xf numFmtId="0" fontId="10" fillId="0" borderId="65" xfId="0" applyFont="1" applyBorder="1" applyAlignment="1">
      <alignment horizontal="left" vertical="center"/>
    </xf>
    <xf numFmtId="0" fontId="10" fillId="0" borderId="66" xfId="0" applyFont="1" applyBorder="1" applyAlignment="1">
      <alignment horizontal="left" vertical="center"/>
    </xf>
    <xf numFmtId="0" fontId="10" fillId="0" borderId="70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69" xfId="0" applyFont="1" applyBorder="1" applyAlignment="1">
      <alignment horizontal="left" vertical="center"/>
    </xf>
    <xf numFmtId="0" fontId="10" fillId="0" borderId="74" xfId="0" applyFont="1" applyBorder="1" applyAlignment="1">
      <alignment horizontal="left" vertical="center"/>
    </xf>
    <xf numFmtId="0" fontId="10" fillId="0" borderId="72" xfId="0" applyFont="1" applyBorder="1" applyAlignment="1">
      <alignment horizontal="left" vertical="center"/>
    </xf>
    <xf numFmtId="0" fontId="10" fillId="0" borderId="73" xfId="0" applyFont="1" applyBorder="1" applyAlignment="1">
      <alignment horizontal="left" vertical="center"/>
    </xf>
    <xf numFmtId="0" fontId="10" fillId="0" borderId="64" xfId="0" applyFont="1" applyBorder="1" applyAlignment="1">
      <alignment horizontal="left" vertical="center"/>
    </xf>
    <xf numFmtId="0" fontId="10" fillId="0" borderId="68" xfId="0" applyFont="1" applyBorder="1" applyAlignment="1">
      <alignment horizontal="left" vertical="center"/>
    </xf>
    <xf numFmtId="0" fontId="10" fillId="0" borderId="7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2" fillId="0" borderId="56" xfId="0" applyFont="1" applyBorder="1" applyAlignment="1">
      <alignment horizontal="left" vertical="center"/>
    </xf>
    <xf numFmtId="0" fontId="2" fillId="0" borderId="6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75" xfId="0" applyFont="1" applyBorder="1" applyAlignment="1">
      <alignment horizontal="left" vertical="center"/>
    </xf>
    <xf numFmtId="0" fontId="2" fillId="0" borderId="76" xfId="0" applyFont="1" applyBorder="1" applyAlignment="1">
      <alignment horizontal="left" vertical="center"/>
    </xf>
    <xf numFmtId="0" fontId="2" fillId="0" borderId="77" xfId="0" applyFont="1" applyBorder="1" applyAlignment="1">
      <alignment horizontal="left" vertical="center"/>
    </xf>
    <xf numFmtId="0" fontId="3" fillId="0" borderId="79" xfId="0" applyFont="1" applyBorder="1" applyAlignment="1">
      <alignment horizontal="left" vertical="center"/>
    </xf>
    <xf numFmtId="0" fontId="3" fillId="0" borderId="80" xfId="0" applyFont="1" applyBorder="1" applyAlignment="1">
      <alignment horizontal="left" vertical="center"/>
    </xf>
    <xf numFmtId="0" fontId="3" fillId="0" borderId="81" xfId="0" applyFont="1" applyBorder="1" applyAlignment="1">
      <alignment horizontal="left" vertical="center"/>
    </xf>
    <xf numFmtId="0" fontId="9" fillId="0" borderId="79" xfId="0" applyFont="1" applyBorder="1" applyAlignment="1">
      <alignment horizontal="left" vertical="center"/>
    </xf>
    <xf numFmtId="0" fontId="9" fillId="0" borderId="80" xfId="0" applyFont="1" applyBorder="1" applyAlignment="1">
      <alignment horizontal="left" vertical="center"/>
    </xf>
    <xf numFmtId="0" fontId="9" fillId="0" borderId="81" xfId="0" applyFont="1" applyBorder="1" applyAlignment="1">
      <alignment horizontal="left" vertical="center"/>
    </xf>
    <xf numFmtId="4" fontId="9" fillId="0" borderId="83" xfId="0" applyNumberFormat="1" applyFont="1" applyBorder="1" applyAlignment="1">
      <alignment horizontal="right" vertical="center"/>
    </xf>
    <xf numFmtId="0" fontId="9" fillId="0" borderId="80" xfId="0" applyFont="1" applyBorder="1" applyAlignment="1">
      <alignment horizontal="right" vertical="center"/>
    </xf>
    <xf numFmtId="0" fontId="9" fillId="0" borderId="81" xfId="0" applyFont="1" applyBorder="1" applyAlignment="1">
      <alignment horizontal="righ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95"/>
  <sheetViews>
    <sheetView topLeftCell="A55" workbookViewId="0">
      <selection activeCell="L81" sqref="L81"/>
    </sheetView>
  </sheetViews>
  <sheetFormatPr defaultColWidth="12.140625" defaultRowHeight="15" customHeight="1" x14ac:dyDescent="0.25"/>
  <cols>
    <col min="1" max="1" width="4.28515625" customWidth="1"/>
    <col min="2" max="2" width="7.85546875" customWidth="1"/>
    <col min="3" max="3" width="17.140625" customWidth="1"/>
    <col min="4" max="4" width="71.42578125" customWidth="1"/>
    <col min="5" max="5" width="11.42578125" customWidth="1"/>
    <col min="6" max="6" width="5.5703125" bestFit="1" customWidth="1"/>
    <col min="7" max="7" width="11.7109375" customWidth="1"/>
    <col min="8" max="8" width="12.85546875" customWidth="1"/>
    <col min="9" max="10" width="22.85546875" customWidth="1"/>
    <col min="11" max="11" width="18.5703125" customWidth="1"/>
    <col min="230" max="231" width="12.140625" hidden="1"/>
    <col min="251" max="254" width="12.140625" hidden="1"/>
  </cols>
  <sheetData>
    <row r="1" spans="1:253" ht="54.75" customHeight="1" x14ac:dyDescent="0.25">
      <c r="A1" s="86" t="s">
        <v>304</v>
      </c>
      <c r="B1" s="86"/>
      <c r="C1" s="86"/>
      <c r="D1" s="86"/>
      <c r="E1" s="86"/>
      <c r="F1" s="86"/>
      <c r="G1" s="86"/>
      <c r="H1" s="86"/>
      <c r="I1" s="86"/>
      <c r="J1" s="86"/>
      <c r="K1" s="86"/>
    </row>
    <row r="2" spans="1:253" x14ac:dyDescent="0.25">
      <c r="A2" s="87" t="s">
        <v>1</v>
      </c>
      <c r="B2" s="88"/>
      <c r="C2" s="88"/>
      <c r="D2" s="94" t="str">
        <f>'Stavební rozpočet'!D2</f>
        <v>Nové hřiště v Hrubšicích etapa I.</v>
      </c>
      <c r="E2" s="88" t="s">
        <v>2</v>
      </c>
      <c r="F2" s="88"/>
      <c r="G2" s="97" t="str">
        <f>'Stavební rozpočet'!H2</f>
        <v xml:space="preserve"> </v>
      </c>
      <c r="H2" s="110" t="s">
        <v>3</v>
      </c>
      <c r="I2" s="97" t="s">
        <v>290</v>
      </c>
      <c r="J2" s="88"/>
      <c r="K2" s="105"/>
    </row>
    <row r="3" spans="1:253" ht="15" customHeight="1" x14ac:dyDescent="0.25">
      <c r="A3" s="89"/>
      <c r="B3" s="90"/>
      <c r="C3" s="90"/>
      <c r="D3" s="95"/>
      <c r="E3" s="90"/>
      <c r="F3" s="90"/>
      <c r="G3" s="90"/>
      <c r="H3" s="90"/>
      <c r="I3" s="90"/>
      <c r="J3" s="90"/>
      <c r="K3" s="106"/>
    </row>
    <row r="4" spans="1:253" x14ac:dyDescent="0.25">
      <c r="A4" s="91" t="s">
        <v>4</v>
      </c>
      <c r="B4" s="90"/>
      <c r="C4" s="90"/>
      <c r="D4" s="96" t="str">
        <f>'Stavební rozpočet'!D4</f>
        <v xml:space="preserve"> </v>
      </c>
      <c r="E4" s="90" t="s">
        <v>5</v>
      </c>
      <c r="F4" s="90"/>
      <c r="G4" s="96"/>
      <c r="H4" s="111" t="s">
        <v>6</v>
      </c>
      <c r="I4" s="96" t="s">
        <v>289</v>
      </c>
      <c r="J4" s="90"/>
      <c r="K4" s="106"/>
    </row>
    <row r="5" spans="1:253" ht="15" customHeight="1" x14ac:dyDescent="0.25">
      <c r="A5" s="89"/>
      <c r="B5" s="90"/>
      <c r="C5" s="90"/>
      <c r="D5" s="90"/>
      <c r="E5" s="90"/>
      <c r="F5" s="90"/>
      <c r="G5" s="90"/>
      <c r="H5" s="90"/>
      <c r="I5" s="90"/>
      <c r="J5" s="90"/>
      <c r="K5" s="106"/>
    </row>
    <row r="6" spans="1:253" x14ac:dyDescent="0.25">
      <c r="A6" s="91" t="s">
        <v>7</v>
      </c>
      <c r="B6" s="90"/>
      <c r="C6" s="90"/>
      <c r="D6" s="96" t="str">
        <f>'Stavební rozpočet'!D6</f>
        <v>k.ú. Hrubšice</v>
      </c>
      <c r="E6" s="90" t="s">
        <v>8</v>
      </c>
      <c r="F6" s="90"/>
      <c r="G6" s="96" t="str">
        <f>'Stavební rozpočet'!H6</f>
        <v xml:space="preserve"> </v>
      </c>
      <c r="H6" s="111" t="s">
        <v>9</v>
      </c>
      <c r="I6" s="96" t="str">
        <f>'Stavební rozpočet'!J6</f>
        <v> </v>
      </c>
      <c r="J6" s="90"/>
      <c r="K6" s="106"/>
    </row>
    <row r="7" spans="1:253" ht="15" customHeight="1" x14ac:dyDescent="0.25">
      <c r="A7" s="89"/>
      <c r="B7" s="90"/>
      <c r="C7" s="90"/>
      <c r="D7" s="90"/>
      <c r="E7" s="90"/>
      <c r="F7" s="90"/>
      <c r="G7" s="90"/>
      <c r="H7" s="90"/>
      <c r="I7" s="90"/>
      <c r="J7" s="90"/>
      <c r="K7" s="106"/>
    </row>
    <row r="8" spans="1:253" x14ac:dyDescent="0.25">
      <c r="A8" s="91" t="s">
        <v>10</v>
      </c>
      <c r="B8" s="90"/>
      <c r="C8" s="90"/>
      <c r="D8" s="96" t="str">
        <f>'Stavební rozpočet'!D8</f>
        <v xml:space="preserve"> </v>
      </c>
      <c r="E8" s="90" t="s">
        <v>11</v>
      </c>
      <c r="F8" s="90"/>
      <c r="G8" s="96" t="str">
        <f>'Stavební rozpočet'!H8</f>
        <v>18.09.2025</v>
      </c>
      <c r="H8" s="111" t="s">
        <v>12</v>
      </c>
      <c r="I8" s="96" t="str">
        <f>'Stavební rozpočet'!J8</f>
        <v>Ing.Jiří Dvořák</v>
      </c>
      <c r="J8" s="90"/>
      <c r="K8" s="106"/>
    </row>
    <row r="9" spans="1:253" x14ac:dyDescent="0.25">
      <c r="A9" s="92"/>
      <c r="B9" s="93"/>
      <c r="C9" s="93"/>
      <c r="D9" s="93"/>
      <c r="E9" s="93"/>
      <c r="F9" s="93"/>
      <c r="G9" s="93"/>
      <c r="H9" s="93"/>
      <c r="I9" s="93"/>
      <c r="J9" s="93"/>
      <c r="K9" s="107"/>
    </row>
    <row r="10" spans="1:253" x14ac:dyDescent="0.25">
      <c r="A10" s="84" t="s">
        <v>13</v>
      </c>
      <c r="B10" s="84" t="s">
        <v>14</v>
      </c>
      <c r="C10" s="84" t="s">
        <v>15</v>
      </c>
      <c r="D10" s="112" t="s">
        <v>16</v>
      </c>
      <c r="E10" s="113"/>
      <c r="F10" s="84" t="s">
        <v>17</v>
      </c>
      <c r="G10" s="84" t="s">
        <v>18</v>
      </c>
      <c r="H10" s="84" t="s">
        <v>19</v>
      </c>
      <c r="I10" s="84" t="s">
        <v>20</v>
      </c>
      <c r="J10" s="84" t="s">
        <v>21</v>
      </c>
      <c r="K10" s="85" t="s">
        <v>22</v>
      </c>
      <c r="HV10" s="6" t="s">
        <v>23</v>
      </c>
      <c r="HW10" s="6" t="s">
        <v>24</v>
      </c>
    </row>
    <row r="11" spans="1:253" x14ac:dyDescent="0.25">
      <c r="A11" s="7" t="s">
        <v>25</v>
      </c>
      <c r="B11" s="8" t="s">
        <v>26</v>
      </c>
      <c r="C11" s="8" t="s">
        <v>27</v>
      </c>
      <c r="D11" s="108" t="s">
        <v>28</v>
      </c>
      <c r="E11" s="109"/>
      <c r="F11" s="8" t="s">
        <v>25</v>
      </c>
      <c r="G11" s="9" t="s">
        <v>25</v>
      </c>
      <c r="H11" s="9" t="s">
        <v>25</v>
      </c>
      <c r="I11" s="9" t="s">
        <v>25</v>
      </c>
      <c r="J11" s="10">
        <f>J12+J14+J37+J40+J44+J47+J50+J54</f>
        <v>0</v>
      </c>
      <c r="K11" s="11" t="s">
        <v>25</v>
      </c>
    </row>
    <row r="12" spans="1:253" x14ac:dyDescent="0.25">
      <c r="A12" s="12" t="s">
        <v>25</v>
      </c>
      <c r="B12" s="13" t="s">
        <v>26</v>
      </c>
      <c r="C12" s="13" t="s">
        <v>29</v>
      </c>
      <c r="D12" s="98" t="s">
        <v>30</v>
      </c>
      <c r="E12" s="99"/>
      <c r="F12" s="13" t="s">
        <v>25</v>
      </c>
      <c r="G12" s="14" t="s">
        <v>25</v>
      </c>
      <c r="H12" s="14" t="s">
        <v>25</v>
      </c>
      <c r="I12" s="14" t="s">
        <v>25</v>
      </c>
      <c r="J12" s="15">
        <f>SUM(J13:J13)</f>
        <v>0</v>
      </c>
      <c r="K12" s="16" t="s">
        <v>25</v>
      </c>
    </row>
    <row r="13" spans="1:253" x14ac:dyDescent="0.25">
      <c r="A13" s="17">
        <v>1</v>
      </c>
      <c r="B13" s="2" t="s">
        <v>26</v>
      </c>
      <c r="C13" s="2" t="s">
        <v>31</v>
      </c>
      <c r="D13" s="96" t="s">
        <v>32</v>
      </c>
      <c r="E13" s="90"/>
      <c r="F13" s="2" t="s">
        <v>33</v>
      </c>
      <c r="G13" s="18">
        <v>21</v>
      </c>
      <c r="H13" s="19">
        <v>72.599999999999994</v>
      </c>
      <c r="I13" s="19"/>
      <c r="J13" s="19">
        <f>ROUND(IR13*H13+IS13*H13,2)</f>
        <v>0</v>
      </c>
      <c r="K13" s="4" t="s">
        <v>34</v>
      </c>
      <c r="HV13" s="2" t="s">
        <v>29</v>
      </c>
      <c r="HW13" s="2" t="s">
        <v>35</v>
      </c>
      <c r="IR13" s="20">
        <f>I13*0</f>
        <v>0</v>
      </c>
      <c r="IS13" s="20">
        <f>I13*(1-0)</f>
        <v>0</v>
      </c>
    </row>
    <row r="14" spans="1:253" x14ac:dyDescent="0.25">
      <c r="A14" s="12" t="s">
        <v>25</v>
      </c>
      <c r="B14" s="13" t="s">
        <v>26</v>
      </c>
      <c r="C14" s="13" t="s">
        <v>36</v>
      </c>
      <c r="D14" s="98" t="s">
        <v>28</v>
      </c>
      <c r="E14" s="99"/>
      <c r="F14" s="13" t="s">
        <v>25</v>
      </c>
      <c r="G14" s="14" t="s">
        <v>25</v>
      </c>
      <c r="H14" s="14" t="s">
        <v>25</v>
      </c>
      <c r="I14" s="14" t="s">
        <v>25</v>
      </c>
      <c r="J14" s="15">
        <f>SUM(J15:J35)</f>
        <v>0</v>
      </c>
      <c r="K14" s="16" t="s">
        <v>25</v>
      </c>
    </row>
    <row r="15" spans="1:253" x14ac:dyDescent="0.25">
      <c r="A15" s="17">
        <v>2</v>
      </c>
      <c r="B15" s="2" t="s">
        <v>26</v>
      </c>
      <c r="C15" s="2" t="s">
        <v>37</v>
      </c>
      <c r="D15" s="96" t="s">
        <v>38</v>
      </c>
      <c r="E15" s="90"/>
      <c r="F15" s="2" t="s">
        <v>39</v>
      </c>
      <c r="G15" s="18">
        <v>21</v>
      </c>
      <c r="H15" s="19">
        <v>31</v>
      </c>
      <c r="I15" s="19"/>
      <c r="J15" s="19">
        <f>ROUND(IR15*H15+IS15*H15,2)</f>
        <v>0</v>
      </c>
      <c r="K15" s="4" t="s">
        <v>34</v>
      </c>
      <c r="HV15" s="2" t="s">
        <v>36</v>
      </c>
      <c r="HW15" s="2" t="s">
        <v>35</v>
      </c>
      <c r="IR15" s="20">
        <f>I15*0.024400214</f>
        <v>0</v>
      </c>
      <c r="IS15" s="20">
        <f>I15*(1-0.024400214)</f>
        <v>0</v>
      </c>
    </row>
    <row r="16" spans="1:253" ht="13.5" customHeight="1" x14ac:dyDescent="0.25">
      <c r="A16" s="100"/>
      <c r="B16" s="101"/>
      <c r="C16" s="101"/>
      <c r="D16" s="102" t="s">
        <v>41</v>
      </c>
      <c r="E16" s="103"/>
      <c r="F16" s="103"/>
      <c r="G16" s="103"/>
      <c r="H16" s="103"/>
      <c r="I16" s="103"/>
      <c r="J16" s="103"/>
      <c r="K16" s="104"/>
    </row>
    <row r="17" spans="1:253" x14ac:dyDescent="0.25">
      <c r="A17" s="17">
        <v>3</v>
      </c>
      <c r="B17" s="2" t="s">
        <v>26</v>
      </c>
      <c r="C17" s="2" t="s">
        <v>42</v>
      </c>
      <c r="D17" s="96" t="s">
        <v>43</v>
      </c>
      <c r="E17" s="90"/>
      <c r="F17" s="2" t="s">
        <v>44</v>
      </c>
      <c r="G17" s="18">
        <v>21</v>
      </c>
      <c r="H17" s="19">
        <v>3</v>
      </c>
      <c r="I17" s="19"/>
      <c r="J17" s="19">
        <f>ROUND(IR17*H17+IS17*H17,2)</f>
        <v>0</v>
      </c>
      <c r="K17" s="4" t="s">
        <v>34</v>
      </c>
      <c r="HV17" s="2" t="s">
        <v>36</v>
      </c>
      <c r="HW17" s="2" t="s">
        <v>35</v>
      </c>
      <c r="IR17" s="20">
        <f>I17*0</f>
        <v>0</v>
      </c>
      <c r="IS17" s="20">
        <f>I17*(1-0)</f>
        <v>0</v>
      </c>
    </row>
    <row r="18" spans="1:253" ht="13.5" customHeight="1" x14ac:dyDescent="0.25">
      <c r="A18" s="100"/>
      <c r="B18" s="101"/>
      <c r="C18" s="101"/>
      <c r="D18" s="102" t="s">
        <v>45</v>
      </c>
      <c r="E18" s="103"/>
      <c r="F18" s="103"/>
      <c r="G18" s="103"/>
      <c r="H18" s="103"/>
      <c r="I18" s="103"/>
      <c r="J18" s="103"/>
      <c r="K18" s="104"/>
    </row>
    <row r="19" spans="1:253" x14ac:dyDescent="0.25">
      <c r="A19" s="17">
        <v>4</v>
      </c>
      <c r="B19" s="2" t="s">
        <v>26</v>
      </c>
      <c r="C19" s="2" t="s">
        <v>46</v>
      </c>
      <c r="D19" s="96" t="s">
        <v>47</v>
      </c>
      <c r="E19" s="90"/>
      <c r="F19" s="2" t="s">
        <v>39</v>
      </c>
      <c r="G19" s="18">
        <v>21</v>
      </c>
      <c r="H19" s="19">
        <v>31</v>
      </c>
      <c r="I19" s="19"/>
      <c r="J19" s="19">
        <f>ROUND(IR19*H19+IS19*H19,2)</f>
        <v>0</v>
      </c>
      <c r="K19" s="4" t="s">
        <v>34</v>
      </c>
      <c r="HV19" s="2" t="s">
        <v>36</v>
      </c>
      <c r="HW19" s="2" t="s">
        <v>35</v>
      </c>
      <c r="IR19" s="20">
        <f>I19*0</f>
        <v>0</v>
      </c>
      <c r="IS19" s="20">
        <f>I19*(1-0)</f>
        <v>0</v>
      </c>
    </row>
    <row r="20" spans="1:253" ht="13.5" customHeight="1" x14ac:dyDescent="0.25">
      <c r="A20" s="100"/>
      <c r="B20" s="101"/>
      <c r="C20" s="101"/>
      <c r="D20" s="102" t="s">
        <v>48</v>
      </c>
      <c r="E20" s="103"/>
      <c r="F20" s="103"/>
      <c r="G20" s="103"/>
      <c r="H20" s="103"/>
      <c r="I20" s="103"/>
      <c r="J20" s="103"/>
      <c r="K20" s="104"/>
    </row>
    <row r="21" spans="1:253" x14ac:dyDescent="0.25">
      <c r="A21" s="17">
        <v>5</v>
      </c>
      <c r="B21" s="2" t="s">
        <v>26</v>
      </c>
      <c r="C21" s="2" t="s">
        <v>49</v>
      </c>
      <c r="D21" s="96" t="s">
        <v>50</v>
      </c>
      <c r="E21" s="90"/>
      <c r="F21" s="2" t="s">
        <v>44</v>
      </c>
      <c r="G21" s="18">
        <v>21</v>
      </c>
      <c r="H21" s="19">
        <v>3</v>
      </c>
      <c r="I21" s="19"/>
      <c r="J21" s="19">
        <f>ROUND(IR21*H21+IS21*H21,2)</f>
        <v>0</v>
      </c>
      <c r="K21" s="4" t="s">
        <v>34</v>
      </c>
      <c r="HV21" s="2" t="s">
        <v>36</v>
      </c>
      <c r="HW21" s="2" t="s">
        <v>35</v>
      </c>
      <c r="IR21" s="20">
        <f>I21*0.005703212</f>
        <v>0</v>
      </c>
      <c r="IS21" s="20">
        <f>I21*(1-0.005703212)</f>
        <v>0</v>
      </c>
    </row>
    <row r="22" spans="1:253" ht="13.5" customHeight="1" x14ac:dyDescent="0.25">
      <c r="A22" s="100"/>
      <c r="B22" s="101"/>
      <c r="C22" s="101"/>
      <c r="D22" s="102" t="s">
        <v>45</v>
      </c>
      <c r="E22" s="103"/>
      <c r="F22" s="103"/>
      <c r="G22" s="103"/>
      <c r="H22" s="103"/>
      <c r="I22" s="103"/>
      <c r="J22" s="103"/>
      <c r="K22" s="104"/>
    </row>
    <row r="23" spans="1:253" x14ac:dyDescent="0.25">
      <c r="A23" s="17">
        <v>6</v>
      </c>
      <c r="B23" s="2" t="s">
        <v>26</v>
      </c>
      <c r="C23" s="2" t="s">
        <v>51</v>
      </c>
      <c r="D23" s="114" t="s">
        <v>297</v>
      </c>
      <c r="E23" s="90"/>
      <c r="F23" s="2" t="s">
        <v>44</v>
      </c>
      <c r="G23" s="18">
        <v>21</v>
      </c>
      <c r="H23" s="19">
        <v>3</v>
      </c>
      <c r="I23" s="19"/>
      <c r="J23" s="19">
        <f>ROUND(IR23*H23+IS23*H23,2)</f>
        <v>0</v>
      </c>
      <c r="K23" s="4" t="s">
        <v>34</v>
      </c>
      <c r="HV23" s="2" t="s">
        <v>36</v>
      </c>
      <c r="HW23" s="2" t="s">
        <v>35</v>
      </c>
      <c r="IR23" s="20">
        <f>I23*0.125769854</f>
        <v>0</v>
      </c>
      <c r="IS23" s="20">
        <f>I23*(1-0.125769854)</f>
        <v>0</v>
      </c>
    </row>
    <row r="24" spans="1:253" ht="13.5" customHeight="1" x14ac:dyDescent="0.25">
      <c r="A24" s="100"/>
      <c r="B24" s="101"/>
      <c r="C24" s="101"/>
      <c r="D24" s="102" t="s">
        <v>45</v>
      </c>
      <c r="E24" s="103"/>
      <c r="F24" s="103"/>
      <c r="G24" s="103"/>
      <c r="H24" s="103"/>
      <c r="I24" s="103"/>
      <c r="J24" s="103"/>
      <c r="K24" s="104"/>
    </row>
    <row r="25" spans="1:253" x14ac:dyDescent="0.25">
      <c r="A25" s="17">
        <v>7</v>
      </c>
      <c r="B25" s="2" t="s">
        <v>26</v>
      </c>
      <c r="C25" s="2" t="s">
        <v>53</v>
      </c>
      <c r="D25" s="96" t="s">
        <v>54</v>
      </c>
      <c r="E25" s="90"/>
      <c r="F25" s="2" t="s">
        <v>44</v>
      </c>
      <c r="G25" s="18">
        <v>21</v>
      </c>
      <c r="H25" s="19">
        <v>55</v>
      </c>
      <c r="I25" s="19"/>
      <c r="J25" s="19">
        <f>ROUND(IR25*H25+IS25*H25,2)</f>
        <v>0</v>
      </c>
      <c r="K25" s="4" t="s">
        <v>34</v>
      </c>
      <c r="HV25" s="2" t="s">
        <v>36</v>
      </c>
      <c r="HW25" s="2" t="s">
        <v>35</v>
      </c>
      <c r="IR25" s="20">
        <f>I25*0</f>
        <v>0</v>
      </c>
      <c r="IS25" s="20">
        <f>I25*(1-0)</f>
        <v>0</v>
      </c>
    </row>
    <row r="26" spans="1:253" ht="40.5" customHeight="1" x14ac:dyDescent="0.25">
      <c r="A26" s="100"/>
      <c r="B26" s="101"/>
      <c r="C26" s="101"/>
      <c r="D26" s="102" t="s">
        <v>55</v>
      </c>
      <c r="E26" s="103"/>
      <c r="F26" s="103"/>
      <c r="G26" s="103"/>
      <c r="H26" s="103"/>
      <c r="I26" s="103"/>
      <c r="J26" s="103"/>
      <c r="K26" s="104"/>
    </row>
    <row r="27" spans="1:253" x14ac:dyDescent="0.25">
      <c r="A27" s="17">
        <v>8</v>
      </c>
      <c r="B27" s="2" t="s">
        <v>26</v>
      </c>
      <c r="C27" s="2" t="s">
        <v>56</v>
      </c>
      <c r="D27" s="96" t="s">
        <v>57</v>
      </c>
      <c r="E27" s="90"/>
      <c r="F27" s="2" t="s">
        <v>44</v>
      </c>
      <c r="G27" s="18">
        <v>21</v>
      </c>
      <c r="H27" s="19">
        <v>55</v>
      </c>
      <c r="I27" s="19"/>
      <c r="J27" s="19">
        <f>ROUND(IR27*H27+IS27*H27,2)</f>
        <v>0</v>
      </c>
      <c r="K27" s="4" t="s">
        <v>34</v>
      </c>
      <c r="HV27" s="2" t="s">
        <v>36</v>
      </c>
      <c r="HW27" s="2" t="s">
        <v>35</v>
      </c>
      <c r="IR27" s="20">
        <f>I27*0.008557214</f>
        <v>0</v>
      </c>
      <c r="IS27" s="20">
        <f>I27*(1-0.008557214)</f>
        <v>0</v>
      </c>
    </row>
    <row r="28" spans="1:253" ht="40.5" customHeight="1" x14ac:dyDescent="0.25">
      <c r="A28" s="100"/>
      <c r="B28" s="101"/>
      <c r="C28" s="101"/>
      <c r="D28" s="102" t="s">
        <v>55</v>
      </c>
      <c r="E28" s="103"/>
      <c r="F28" s="103"/>
      <c r="G28" s="103"/>
      <c r="H28" s="103"/>
      <c r="I28" s="103"/>
      <c r="J28" s="103"/>
      <c r="K28" s="104"/>
    </row>
    <row r="29" spans="1:253" x14ac:dyDescent="0.25">
      <c r="A29" s="17">
        <v>9</v>
      </c>
      <c r="B29" s="2" t="s">
        <v>26</v>
      </c>
      <c r="C29" s="2" t="s">
        <v>58</v>
      </c>
      <c r="D29" s="96" t="s">
        <v>59</v>
      </c>
      <c r="E29" s="90"/>
      <c r="F29" s="2" t="s">
        <v>39</v>
      </c>
      <c r="G29" s="18">
        <v>21</v>
      </c>
      <c r="H29" s="19">
        <v>31</v>
      </c>
      <c r="I29" s="19"/>
      <c r="J29" s="19">
        <f>ROUND(IR29*H29+IS29*H29,2)</f>
        <v>0</v>
      </c>
      <c r="K29" s="4" t="s">
        <v>34</v>
      </c>
      <c r="HV29" s="2" t="s">
        <v>36</v>
      </c>
      <c r="HW29" s="2" t="s">
        <v>35</v>
      </c>
      <c r="IR29" s="20">
        <f>I29*0</f>
        <v>0</v>
      </c>
      <c r="IS29" s="20">
        <f>I29*(1-0)</f>
        <v>0</v>
      </c>
    </row>
    <row r="30" spans="1:253" ht="13.5" customHeight="1" x14ac:dyDescent="0.25">
      <c r="A30" s="100"/>
      <c r="B30" s="101"/>
      <c r="C30" s="101"/>
      <c r="D30" s="102" t="s">
        <v>60</v>
      </c>
      <c r="E30" s="103"/>
      <c r="F30" s="103"/>
      <c r="G30" s="103"/>
      <c r="H30" s="103"/>
      <c r="I30" s="103"/>
      <c r="J30" s="103"/>
      <c r="K30" s="104"/>
    </row>
    <row r="31" spans="1:253" x14ac:dyDescent="0.25">
      <c r="A31" s="17">
        <v>10</v>
      </c>
      <c r="B31" s="2" t="s">
        <v>26</v>
      </c>
      <c r="C31" s="2" t="s">
        <v>61</v>
      </c>
      <c r="D31" s="96" t="s">
        <v>62</v>
      </c>
      <c r="E31" s="90"/>
      <c r="F31" s="2" t="s">
        <v>39</v>
      </c>
      <c r="G31" s="18">
        <v>21</v>
      </c>
      <c r="H31" s="19">
        <v>3</v>
      </c>
      <c r="I31" s="19"/>
      <c r="J31" s="19">
        <f>ROUND(IR31*H31+IS31*H31,2)</f>
        <v>0</v>
      </c>
      <c r="K31" s="4" t="s">
        <v>34</v>
      </c>
      <c r="HV31" s="2" t="s">
        <v>36</v>
      </c>
      <c r="HW31" s="2" t="s">
        <v>35</v>
      </c>
      <c r="IR31" s="20">
        <f>I31*0.444110672</f>
        <v>0</v>
      </c>
      <c r="IS31" s="20">
        <f>I31*(1-0.444110672)</f>
        <v>0</v>
      </c>
    </row>
    <row r="32" spans="1:253" ht="13.5" customHeight="1" x14ac:dyDescent="0.25">
      <c r="A32" s="100"/>
      <c r="B32" s="101"/>
      <c r="C32" s="101"/>
      <c r="D32" s="102" t="s">
        <v>63</v>
      </c>
      <c r="E32" s="103"/>
      <c r="F32" s="103"/>
      <c r="G32" s="103"/>
      <c r="H32" s="103"/>
      <c r="I32" s="103"/>
      <c r="J32" s="103"/>
      <c r="K32" s="104"/>
    </row>
    <row r="33" spans="1:253" x14ac:dyDescent="0.25">
      <c r="A33" s="17">
        <v>11</v>
      </c>
      <c r="B33" s="2" t="s">
        <v>26</v>
      </c>
      <c r="C33" s="2" t="s">
        <v>64</v>
      </c>
      <c r="D33" s="96" t="s">
        <v>65</v>
      </c>
      <c r="E33" s="90"/>
      <c r="F33" s="2" t="s">
        <v>33</v>
      </c>
      <c r="G33" s="18">
        <v>21</v>
      </c>
      <c r="H33" s="19">
        <v>1.85</v>
      </c>
      <c r="I33" s="19"/>
      <c r="J33" s="19">
        <f>ROUND(IR33*H33+IS33*H33,2)</f>
        <v>0</v>
      </c>
      <c r="K33" s="4" t="s">
        <v>34</v>
      </c>
      <c r="HV33" s="2" t="s">
        <v>36</v>
      </c>
      <c r="HW33" s="2" t="s">
        <v>35</v>
      </c>
      <c r="IR33" s="20">
        <f>I33*0.284154633</f>
        <v>0</v>
      </c>
      <c r="IS33" s="20">
        <f>I33*(1-0.284154633)</f>
        <v>0</v>
      </c>
    </row>
    <row r="34" spans="1:253" ht="27" customHeight="1" x14ac:dyDescent="0.25">
      <c r="A34" s="100"/>
      <c r="B34" s="101"/>
      <c r="C34" s="101"/>
      <c r="D34" s="102" t="s">
        <v>66</v>
      </c>
      <c r="E34" s="103"/>
      <c r="F34" s="103"/>
      <c r="G34" s="103"/>
      <c r="H34" s="103"/>
      <c r="I34" s="103"/>
      <c r="J34" s="103"/>
      <c r="K34" s="104"/>
    </row>
    <row r="35" spans="1:253" x14ac:dyDescent="0.25">
      <c r="A35" s="17">
        <v>12</v>
      </c>
      <c r="B35" s="2" t="s">
        <v>26</v>
      </c>
      <c r="C35" s="2" t="s">
        <v>67</v>
      </c>
      <c r="D35" s="96" t="s">
        <v>68</v>
      </c>
      <c r="E35" s="90"/>
      <c r="F35" s="2" t="s">
        <v>33</v>
      </c>
      <c r="G35" s="18">
        <v>21</v>
      </c>
      <c r="H35" s="19">
        <v>1.85</v>
      </c>
      <c r="I35" s="19"/>
      <c r="J35" s="19">
        <f>ROUND(IR35*H35+IS35*H35,2)</f>
        <v>0</v>
      </c>
      <c r="K35" s="4" t="s">
        <v>34</v>
      </c>
      <c r="HV35" s="2" t="s">
        <v>36</v>
      </c>
      <c r="HW35" s="2" t="s">
        <v>35</v>
      </c>
      <c r="IR35" s="20">
        <f>I35*0</f>
        <v>0</v>
      </c>
      <c r="IS35" s="20">
        <f>I35*(1-0)</f>
        <v>0</v>
      </c>
    </row>
    <row r="36" spans="1:253" ht="13.5" customHeight="1" x14ac:dyDescent="0.25">
      <c r="A36" s="100"/>
      <c r="B36" s="101"/>
      <c r="C36" s="101"/>
      <c r="D36" s="102" t="s">
        <v>69</v>
      </c>
      <c r="E36" s="103"/>
      <c r="F36" s="103"/>
      <c r="G36" s="103"/>
      <c r="H36" s="103"/>
      <c r="I36" s="103"/>
      <c r="J36" s="103"/>
      <c r="K36" s="104"/>
    </row>
    <row r="37" spans="1:253" x14ac:dyDescent="0.25">
      <c r="A37" s="12" t="s">
        <v>25</v>
      </c>
      <c r="B37" s="13" t="s">
        <v>26</v>
      </c>
      <c r="C37" s="13" t="s">
        <v>70</v>
      </c>
      <c r="D37" s="98" t="s">
        <v>71</v>
      </c>
      <c r="E37" s="99"/>
      <c r="F37" s="13" t="s">
        <v>25</v>
      </c>
      <c r="G37" s="14" t="s">
        <v>25</v>
      </c>
      <c r="H37" s="14" t="s">
        <v>25</v>
      </c>
      <c r="I37" s="14" t="s">
        <v>25</v>
      </c>
      <c r="J37" s="15">
        <f>SUM(J38:J38)</f>
        <v>0</v>
      </c>
      <c r="K37" s="16" t="s">
        <v>25</v>
      </c>
    </row>
    <row r="38" spans="1:253" x14ac:dyDescent="0.25">
      <c r="A38" s="17">
        <v>13</v>
      </c>
      <c r="B38" s="2" t="s">
        <v>26</v>
      </c>
      <c r="C38" s="2" t="s">
        <v>72</v>
      </c>
      <c r="D38" s="96" t="s">
        <v>73</v>
      </c>
      <c r="E38" s="90"/>
      <c r="F38" s="2" t="s">
        <v>39</v>
      </c>
      <c r="G38" s="18">
        <v>21</v>
      </c>
      <c r="H38" s="19">
        <v>16.7</v>
      </c>
      <c r="I38" s="19"/>
      <c r="J38" s="19">
        <f>ROUND(IR38*H38+IS38*H38,2)</f>
        <v>0</v>
      </c>
      <c r="K38" s="4" t="s">
        <v>34</v>
      </c>
      <c r="HV38" s="2" t="s">
        <v>70</v>
      </c>
      <c r="HW38" s="2" t="s">
        <v>35</v>
      </c>
      <c r="IR38" s="20">
        <f>I38*0.721364164</f>
        <v>0</v>
      </c>
      <c r="IS38" s="20">
        <f>I38*(1-0.721364164)</f>
        <v>0</v>
      </c>
    </row>
    <row r="39" spans="1:253" ht="13.5" customHeight="1" x14ac:dyDescent="0.25">
      <c r="A39" s="100"/>
      <c r="B39" s="101"/>
      <c r="C39" s="101"/>
      <c r="D39" s="102" t="s">
        <v>300</v>
      </c>
      <c r="E39" s="103"/>
      <c r="F39" s="103"/>
      <c r="G39" s="103"/>
      <c r="H39" s="103"/>
      <c r="I39" s="103"/>
      <c r="J39" s="103"/>
      <c r="K39" s="104"/>
    </row>
    <row r="40" spans="1:253" x14ac:dyDescent="0.25">
      <c r="A40" s="12" t="s">
        <v>25</v>
      </c>
      <c r="B40" s="13" t="s">
        <v>26</v>
      </c>
      <c r="C40" s="13" t="s">
        <v>75</v>
      </c>
      <c r="D40" s="98" t="s">
        <v>76</v>
      </c>
      <c r="E40" s="99"/>
      <c r="F40" s="13" t="s">
        <v>25</v>
      </c>
      <c r="G40" s="14" t="s">
        <v>25</v>
      </c>
      <c r="H40" s="14" t="s">
        <v>25</v>
      </c>
      <c r="I40" s="14" t="s">
        <v>25</v>
      </c>
      <c r="J40" s="15">
        <f>SUM(J41:J41)</f>
        <v>0</v>
      </c>
      <c r="K40" s="16" t="s">
        <v>25</v>
      </c>
    </row>
    <row r="41" spans="1:253" x14ac:dyDescent="0.25">
      <c r="A41" s="17">
        <v>14</v>
      </c>
      <c r="B41" s="2" t="s">
        <v>26</v>
      </c>
      <c r="C41" s="2" t="s">
        <v>77</v>
      </c>
      <c r="D41" s="96" t="s">
        <v>78</v>
      </c>
      <c r="E41" s="90"/>
      <c r="F41" s="2" t="s">
        <v>79</v>
      </c>
      <c r="G41" s="18">
        <v>21</v>
      </c>
      <c r="H41" s="19">
        <v>83.5</v>
      </c>
      <c r="I41" s="19"/>
      <c r="J41" s="19">
        <f>ROUND(IR41*H41+IS41*H41,2)</f>
        <v>0</v>
      </c>
      <c r="K41" s="4" t="s">
        <v>34</v>
      </c>
      <c r="HV41" s="2" t="s">
        <v>75</v>
      </c>
      <c r="HW41" s="2" t="s">
        <v>35</v>
      </c>
      <c r="IR41" s="20">
        <f>I41*0.779791637</f>
        <v>0</v>
      </c>
      <c r="IS41" s="20">
        <f>I41*(1-0.779791637)</f>
        <v>0</v>
      </c>
    </row>
    <row r="42" spans="1:253" ht="27" customHeight="1" x14ac:dyDescent="0.25">
      <c r="A42" s="100"/>
      <c r="B42" s="101"/>
      <c r="C42" s="101"/>
      <c r="D42" s="102" t="s">
        <v>80</v>
      </c>
      <c r="E42" s="103"/>
      <c r="F42" s="103"/>
      <c r="G42" s="103"/>
      <c r="H42" s="103"/>
      <c r="I42" s="103"/>
      <c r="J42" s="103"/>
      <c r="K42" s="104"/>
    </row>
    <row r="43" spans="1:253" s="79" customFormat="1" ht="13.5" customHeight="1" x14ac:dyDescent="0.25">
      <c r="A43" s="115" t="s">
        <v>81</v>
      </c>
      <c r="B43" s="116"/>
      <c r="C43" s="116"/>
      <c r="D43" s="102" t="s">
        <v>82</v>
      </c>
      <c r="E43" s="103"/>
      <c r="F43" s="103"/>
      <c r="G43" s="103"/>
      <c r="H43" s="103"/>
      <c r="I43" s="103"/>
      <c r="J43" s="103"/>
      <c r="K43" s="104"/>
    </row>
    <row r="44" spans="1:253" x14ac:dyDescent="0.25">
      <c r="A44" s="12" t="s">
        <v>25</v>
      </c>
      <c r="B44" s="13" t="s">
        <v>26</v>
      </c>
      <c r="C44" s="13" t="s">
        <v>83</v>
      </c>
      <c r="D44" s="98" t="s">
        <v>84</v>
      </c>
      <c r="E44" s="99"/>
      <c r="F44" s="13" t="s">
        <v>25</v>
      </c>
      <c r="G44" s="14" t="s">
        <v>25</v>
      </c>
      <c r="H44" s="14" t="s">
        <v>25</v>
      </c>
      <c r="I44" s="14" t="s">
        <v>25</v>
      </c>
      <c r="J44" s="15">
        <f>SUM(J45:J45)</f>
        <v>0</v>
      </c>
      <c r="K44" s="16" t="s">
        <v>25</v>
      </c>
    </row>
    <row r="45" spans="1:253" x14ac:dyDescent="0.25">
      <c r="A45" s="17">
        <v>15</v>
      </c>
      <c r="B45" s="2" t="s">
        <v>26</v>
      </c>
      <c r="C45" s="2" t="s">
        <v>85</v>
      </c>
      <c r="D45" s="96" t="s">
        <v>86</v>
      </c>
      <c r="E45" s="90"/>
      <c r="F45" s="2" t="s">
        <v>87</v>
      </c>
      <c r="G45" s="18">
        <v>21</v>
      </c>
      <c r="H45" s="19">
        <v>1</v>
      </c>
      <c r="I45" s="19"/>
      <c r="J45" s="19">
        <f>ROUND(IR45*H45+IS45*H45,2)</f>
        <v>0</v>
      </c>
      <c r="K45" s="82" t="s">
        <v>293</v>
      </c>
      <c r="HV45" s="2" t="s">
        <v>83</v>
      </c>
      <c r="HW45" s="2" t="s">
        <v>35</v>
      </c>
      <c r="IR45" s="20">
        <f>I45*0</f>
        <v>0</v>
      </c>
      <c r="IS45" s="20">
        <f>I45*(1-0)</f>
        <v>0</v>
      </c>
    </row>
    <row r="46" spans="1:253" ht="13.5" customHeight="1" x14ac:dyDescent="0.25">
      <c r="A46" s="100"/>
      <c r="B46" s="101"/>
      <c r="C46" s="101"/>
      <c r="D46" s="102" t="s">
        <v>88</v>
      </c>
      <c r="E46" s="103"/>
      <c r="F46" s="103"/>
      <c r="G46" s="103"/>
      <c r="H46" s="103"/>
      <c r="I46" s="103"/>
      <c r="J46" s="103"/>
      <c r="K46" s="104"/>
    </row>
    <row r="47" spans="1:253" x14ac:dyDescent="0.25">
      <c r="A47" s="12" t="s">
        <v>25</v>
      </c>
      <c r="B47" s="13" t="s">
        <v>26</v>
      </c>
      <c r="C47" s="13" t="s">
        <v>89</v>
      </c>
      <c r="D47" s="98" t="s">
        <v>90</v>
      </c>
      <c r="E47" s="99"/>
      <c r="F47" s="13" t="s">
        <v>25</v>
      </c>
      <c r="G47" s="14" t="s">
        <v>25</v>
      </c>
      <c r="H47" s="14" t="s">
        <v>25</v>
      </c>
      <c r="I47" s="14" t="s">
        <v>25</v>
      </c>
      <c r="J47" s="15">
        <f>SUM(J48:J48)</f>
        <v>0</v>
      </c>
      <c r="K47" s="16" t="s">
        <v>25</v>
      </c>
    </row>
    <row r="48" spans="1:253" x14ac:dyDescent="0.25">
      <c r="A48" s="17">
        <v>16</v>
      </c>
      <c r="B48" s="2" t="s">
        <v>26</v>
      </c>
      <c r="C48" s="2" t="s">
        <v>91</v>
      </c>
      <c r="D48" s="96" t="s">
        <v>92</v>
      </c>
      <c r="E48" s="90"/>
      <c r="F48" s="2" t="s">
        <v>33</v>
      </c>
      <c r="G48" s="18">
        <v>21</v>
      </c>
      <c r="H48" s="19">
        <v>72.599999999999994</v>
      </c>
      <c r="I48" s="19"/>
      <c r="J48" s="19">
        <f>ROUND(IR48*H48+IS48*H48,2)</f>
        <v>0</v>
      </c>
      <c r="K48" s="4" t="s">
        <v>34</v>
      </c>
      <c r="HV48" s="2" t="s">
        <v>89</v>
      </c>
      <c r="HW48" s="2" t="s">
        <v>35</v>
      </c>
      <c r="IR48" s="20">
        <f>I48*0</f>
        <v>0</v>
      </c>
      <c r="IS48" s="20">
        <f>I48*(1-0)</f>
        <v>0</v>
      </c>
    </row>
    <row r="49" spans="1:253" ht="13.5" customHeight="1" x14ac:dyDescent="0.25">
      <c r="A49" s="100"/>
      <c r="B49" s="101"/>
      <c r="C49" s="101"/>
      <c r="D49" s="102" t="s">
        <v>93</v>
      </c>
      <c r="E49" s="103"/>
      <c r="F49" s="103"/>
      <c r="G49" s="103"/>
      <c r="H49" s="103"/>
      <c r="I49" s="103"/>
      <c r="J49" s="103"/>
      <c r="K49" s="104"/>
    </row>
    <row r="50" spans="1:253" x14ac:dyDescent="0.25">
      <c r="A50" s="12" t="s">
        <v>25</v>
      </c>
      <c r="B50" s="13" t="s">
        <v>26</v>
      </c>
      <c r="C50" s="13" t="s">
        <v>94</v>
      </c>
      <c r="D50" s="98" t="s">
        <v>95</v>
      </c>
      <c r="E50" s="99"/>
      <c r="F50" s="13" t="s">
        <v>25</v>
      </c>
      <c r="G50" s="14" t="s">
        <v>25</v>
      </c>
      <c r="H50" s="14" t="s">
        <v>25</v>
      </c>
      <c r="I50" s="14" t="s">
        <v>25</v>
      </c>
      <c r="J50" s="15">
        <f>SUM(J51:J51)</f>
        <v>0</v>
      </c>
      <c r="K50" s="16" t="s">
        <v>25</v>
      </c>
    </row>
    <row r="51" spans="1:253" x14ac:dyDescent="0.25">
      <c r="A51" s="17">
        <v>17</v>
      </c>
      <c r="B51" s="2" t="s">
        <v>26</v>
      </c>
      <c r="C51" s="2" t="s">
        <v>96</v>
      </c>
      <c r="D51" s="96" t="s">
        <v>97</v>
      </c>
      <c r="E51" s="90"/>
      <c r="F51" s="2" t="s">
        <v>98</v>
      </c>
      <c r="G51" s="18">
        <v>21</v>
      </c>
      <c r="H51" s="19">
        <v>130.68</v>
      </c>
      <c r="I51" s="19"/>
      <c r="J51" s="19">
        <f>ROUND(IR51*H51+IS51*H51,2)</f>
        <v>0</v>
      </c>
      <c r="K51" s="4" t="s">
        <v>34</v>
      </c>
      <c r="HV51" s="2" t="s">
        <v>94</v>
      </c>
      <c r="HW51" s="2" t="s">
        <v>35</v>
      </c>
      <c r="IR51" s="20">
        <f>I51*0</f>
        <v>0</v>
      </c>
      <c r="IS51" s="20">
        <f>I51*(1-0)</f>
        <v>0</v>
      </c>
    </row>
    <row r="52" spans="1:253" ht="13.5" customHeight="1" x14ac:dyDescent="0.25">
      <c r="A52" s="100"/>
      <c r="B52" s="101"/>
      <c r="C52" s="101"/>
      <c r="D52" s="102" t="s">
        <v>99</v>
      </c>
      <c r="E52" s="103"/>
      <c r="F52" s="103"/>
      <c r="G52" s="103"/>
      <c r="H52" s="103"/>
      <c r="I52" s="103"/>
      <c r="J52" s="103"/>
      <c r="K52" s="104"/>
    </row>
    <row r="53" spans="1:253" s="79" customFormat="1" ht="13.5" customHeight="1" x14ac:dyDescent="0.25">
      <c r="A53" s="115" t="s">
        <v>81</v>
      </c>
      <c r="B53" s="116"/>
      <c r="C53" s="116"/>
      <c r="D53" s="102" t="s">
        <v>100</v>
      </c>
      <c r="E53" s="103"/>
      <c r="F53" s="103"/>
      <c r="G53" s="103"/>
      <c r="H53" s="103"/>
      <c r="I53" s="103"/>
      <c r="J53" s="103"/>
      <c r="K53" s="104"/>
    </row>
    <row r="54" spans="1:253" x14ac:dyDescent="0.25">
      <c r="A54" s="12" t="s">
        <v>25</v>
      </c>
      <c r="B54" s="13" t="s">
        <v>26</v>
      </c>
      <c r="C54" s="13" t="s">
        <v>101</v>
      </c>
      <c r="D54" s="98" t="s">
        <v>102</v>
      </c>
      <c r="E54" s="99"/>
      <c r="F54" s="13" t="s">
        <v>25</v>
      </c>
      <c r="G54" s="14" t="s">
        <v>25</v>
      </c>
      <c r="H54" s="14" t="s">
        <v>25</v>
      </c>
      <c r="I54" s="14" t="s">
        <v>25</v>
      </c>
      <c r="J54" s="15">
        <f>SUM(J55:J70)</f>
        <v>0</v>
      </c>
      <c r="K54" s="16" t="s">
        <v>25</v>
      </c>
    </row>
    <row r="55" spans="1:253" x14ac:dyDescent="0.25">
      <c r="A55" s="17">
        <v>18</v>
      </c>
      <c r="B55" s="2" t="s">
        <v>26</v>
      </c>
      <c r="C55" s="2" t="s">
        <v>103</v>
      </c>
      <c r="D55" s="96" t="s">
        <v>104</v>
      </c>
      <c r="E55" s="90"/>
      <c r="F55" s="2" t="s">
        <v>98</v>
      </c>
      <c r="G55" s="18">
        <v>21</v>
      </c>
      <c r="H55" s="19">
        <v>18.600000000000001</v>
      </c>
      <c r="I55" s="19"/>
      <c r="J55" s="19">
        <f>ROUND(IR55*H55+IS55*H55,2)</f>
        <v>0</v>
      </c>
      <c r="K55" s="4" t="s">
        <v>34</v>
      </c>
      <c r="HV55" s="2" t="s">
        <v>105</v>
      </c>
      <c r="HW55" s="2" t="s">
        <v>101</v>
      </c>
      <c r="IR55" s="20">
        <f>I55*1</f>
        <v>0</v>
      </c>
      <c r="IS55" s="20">
        <f>I55*(1-1)</f>
        <v>0</v>
      </c>
    </row>
    <row r="56" spans="1:253" ht="13.5" customHeight="1" x14ac:dyDescent="0.25">
      <c r="A56" s="100"/>
      <c r="B56" s="101"/>
      <c r="C56" s="101"/>
      <c r="D56" s="102" t="s">
        <v>294</v>
      </c>
      <c r="E56" s="103"/>
      <c r="F56" s="103"/>
      <c r="G56" s="103"/>
      <c r="H56" s="103"/>
      <c r="I56" s="103"/>
      <c r="J56" s="103"/>
      <c r="K56" s="104"/>
    </row>
    <row r="57" spans="1:253" s="79" customFormat="1" ht="13.5" customHeight="1" x14ac:dyDescent="0.25">
      <c r="A57" s="115" t="s">
        <v>81</v>
      </c>
      <c r="B57" s="116"/>
      <c r="C57" s="116"/>
      <c r="D57" s="102" t="s">
        <v>107</v>
      </c>
      <c r="E57" s="103"/>
      <c r="F57" s="103"/>
      <c r="G57" s="103"/>
      <c r="H57" s="103"/>
      <c r="I57" s="103"/>
      <c r="J57" s="103"/>
      <c r="K57" s="104"/>
    </row>
    <row r="58" spans="1:253" x14ac:dyDescent="0.25">
      <c r="A58" s="17">
        <v>19</v>
      </c>
      <c r="B58" s="2" t="s">
        <v>26</v>
      </c>
      <c r="C58" s="2" t="s">
        <v>108</v>
      </c>
      <c r="D58" s="96" t="s">
        <v>109</v>
      </c>
      <c r="E58" s="90"/>
      <c r="F58" s="2" t="s">
        <v>110</v>
      </c>
      <c r="G58" s="18">
        <v>21</v>
      </c>
      <c r="H58" s="19">
        <v>9</v>
      </c>
      <c r="I58" s="19"/>
      <c r="J58" s="19">
        <f>ROUND(IR58*H58+IS58*H58,2)</f>
        <v>0</v>
      </c>
      <c r="K58" s="82" t="s">
        <v>293</v>
      </c>
      <c r="HV58" s="2" t="s">
        <v>105</v>
      </c>
      <c r="HW58" s="2" t="s">
        <v>101</v>
      </c>
      <c r="IR58" s="20">
        <f>I58*1</f>
        <v>0</v>
      </c>
      <c r="IS58" s="20">
        <f>I58*(1-1)</f>
        <v>0</v>
      </c>
    </row>
    <row r="59" spans="1:253" ht="13.5" customHeight="1" x14ac:dyDescent="0.25">
      <c r="A59" s="100"/>
      <c r="B59" s="101"/>
      <c r="C59" s="101"/>
      <c r="D59" s="102" t="s">
        <v>111</v>
      </c>
      <c r="E59" s="103"/>
      <c r="F59" s="103"/>
      <c r="G59" s="103"/>
      <c r="H59" s="103"/>
      <c r="I59" s="103"/>
      <c r="J59" s="103"/>
      <c r="K59" s="104"/>
    </row>
    <row r="60" spans="1:253" x14ac:dyDescent="0.25">
      <c r="A60" s="17">
        <v>20</v>
      </c>
      <c r="B60" s="2" t="s">
        <v>26</v>
      </c>
      <c r="C60" s="2" t="s">
        <v>112</v>
      </c>
      <c r="D60" s="96" t="s">
        <v>113</v>
      </c>
      <c r="E60" s="90"/>
      <c r="F60" s="2" t="s">
        <v>110</v>
      </c>
      <c r="G60" s="18">
        <v>21</v>
      </c>
      <c r="H60" s="19">
        <v>36</v>
      </c>
      <c r="I60" s="19"/>
      <c r="J60" s="19">
        <f>ROUND(IR60*H60+IS60*H60,2)</f>
        <v>0</v>
      </c>
      <c r="K60" s="82" t="s">
        <v>293</v>
      </c>
      <c r="HV60" s="2" t="s">
        <v>105</v>
      </c>
      <c r="HW60" s="2" t="s">
        <v>101</v>
      </c>
      <c r="IR60" s="20">
        <f>I60*1</f>
        <v>0</v>
      </c>
      <c r="IS60" s="20">
        <f>I60*(1-1)</f>
        <v>0</v>
      </c>
    </row>
    <row r="61" spans="1:253" ht="13.5" customHeight="1" x14ac:dyDescent="0.25">
      <c r="A61" s="100"/>
      <c r="B61" s="101"/>
      <c r="C61" s="101"/>
      <c r="D61" s="102" t="s">
        <v>114</v>
      </c>
      <c r="E61" s="103"/>
      <c r="F61" s="103"/>
      <c r="G61" s="103"/>
      <c r="H61" s="103"/>
      <c r="I61" s="103"/>
      <c r="J61" s="103"/>
      <c r="K61" s="104"/>
    </row>
    <row r="62" spans="1:253" x14ac:dyDescent="0.25">
      <c r="A62" s="17">
        <v>21</v>
      </c>
      <c r="B62" s="2" t="s">
        <v>26</v>
      </c>
      <c r="C62" s="2" t="s">
        <v>115</v>
      </c>
      <c r="D62" s="96" t="s">
        <v>116</v>
      </c>
      <c r="E62" s="90"/>
      <c r="F62" s="2" t="s">
        <v>33</v>
      </c>
      <c r="G62" s="18">
        <v>21</v>
      </c>
      <c r="H62" s="19">
        <v>3.1</v>
      </c>
      <c r="I62" s="19"/>
      <c r="J62" s="19">
        <f>ROUND(IR62*H62+IS62*H62,2)</f>
        <v>0</v>
      </c>
      <c r="K62" s="4" t="s">
        <v>34</v>
      </c>
      <c r="HV62" s="2" t="s">
        <v>105</v>
      </c>
      <c r="HW62" s="2" t="s">
        <v>101</v>
      </c>
      <c r="IR62" s="20">
        <f>I62*1</f>
        <v>0</v>
      </c>
      <c r="IS62" s="20">
        <f>I62*(1-1)</f>
        <v>0</v>
      </c>
    </row>
    <row r="63" spans="1:253" ht="13.5" customHeight="1" x14ac:dyDescent="0.25">
      <c r="A63" s="100"/>
      <c r="B63" s="101"/>
      <c r="C63" s="101"/>
      <c r="D63" s="102" t="s">
        <v>117</v>
      </c>
      <c r="E63" s="103"/>
      <c r="F63" s="103"/>
      <c r="G63" s="103"/>
      <c r="H63" s="103"/>
      <c r="I63" s="103"/>
      <c r="J63" s="103"/>
      <c r="K63" s="104"/>
    </row>
    <row r="64" spans="1:253" x14ac:dyDescent="0.25">
      <c r="A64" s="17">
        <v>22</v>
      </c>
      <c r="B64" s="2" t="s">
        <v>26</v>
      </c>
      <c r="C64" s="2" t="s">
        <v>118</v>
      </c>
      <c r="D64" s="96" t="s">
        <v>119</v>
      </c>
      <c r="E64" s="90"/>
      <c r="F64" s="2" t="s">
        <v>110</v>
      </c>
      <c r="G64" s="18">
        <v>21</v>
      </c>
      <c r="H64" s="19">
        <v>3</v>
      </c>
      <c r="I64" s="19"/>
      <c r="J64" s="19">
        <f>ROUND(IR64*H64+IS64*H64,2)</f>
        <v>0</v>
      </c>
      <c r="K64" s="82" t="s">
        <v>293</v>
      </c>
      <c r="HV64" s="2" t="s">
        <v>105</v>
      </c>
      <c r="HW64" s="2" t="s">
        <v>101</v>
      </c>
      <c r="IR64" s="20">
        <f>I64*1</f>
        <v>0</v>
      </c>
      <c r="IS64" s="20">
        <f>I64*(1-1)</f>
        <v>0</v>
      </c>
    </row>
    <row r="65" spans="1:253" ht="13.5" customHeight="1" x14ac:dyDescent="0.25">
      <c r="A65" s="100"/>
      <c r="B65" s="101"/>
      <c r="C65" s="101"/>
      <c r="D65" s="102" t="s">
        <v>120</v>
      </c>
      <c r="E65" s="103"/>
      <c r="F65" s="103"/>
      <c r="G65" s="103"/>
      <c r="H65" s="103"/>
      <c r="I65" s="103"/>
      <c r="J65" s="103"/>
      <c r="K65" s="104"/>
    </row>
    <row r="66" spans="1:253" x14ac:dyDescent="0.25">
      <c r="A66" s="17">
        <v>23</v>
      </c>
      <c r="B66" s="2" t="s">
        <v>26</v>
      </c>
      <c r="C66" s="2" t="s">
        <v>121</v>
      </c>
      <c r="D66" s="114" t="s">
        <v>286</v>
      </c>
      <c r="E66" s="90"/>
      <c r="F66" s="2" t="s">
        <v>110</v>
      </c>
      <c r="G66" s="18">
        <v>21</v>
      </c>
      <c r="H66" s="19">
        <v>30</v>
      </c>
      <c r="I66" s="19"/>
      <c r="J66" s="19">
        <f>ROUND(IR66*H66+IS66*H66,2)</f>
        <v>0</v>
      </c>
      <c r="K66" s="82" t="s">
        <v>293</v>
      </c>
      <c r="HV66" s="2" t="s">
        <v>105</v>
      </c>
      <c r="HW66" s="2" t="s">
        <v>101</v>
      </c>
      <c r="IR66" s="20">
        <f>I66*1</f>
        <v>0</v>
      </c>
      <c r="IS66" s="20">
        <f>I66*(1-1)</f>
        <v>0</v>
      </c>
    </row>
    <row r="67" spans="1:253" ht="13.5" customHeight="1" x14ac:dyDescent="0.25">
      <c r="A67" s="100"/>
      <c r="B67" s="101"/>
      <c r="C67" s="101"/>
      <c r="D67" s="102" t="s">
        <v>123</v>
      </c>
      <c r="E67" s="103"/>
      <c r="F67" s="103"/>
      <c r="G67" s="103"/>
      <c r="H67" s="103"/>
      <c r="I67" s="103"/>
      <c r="J67" s="103"/>
      <c r="K67" s="104"/>
    </row>
    <row r="68" spans="1:253" x14ac:dyDescent="0.25">
      <c r="A68" s="17">
        <v>24</v>
      </c>
      <c r="B68" s="2" t="s">
        <v>26</v>
      </c>
      <c r="C68" s="2" t="s">
        <v>124</v>
      </c>
      <c r="D68" s="114" t="s">
        <v>287</v>
      </c>
      <c r="E68" s="90"/>
      <c r="F68" s="2" t="s">
        <v>110</v>
      </c>
      <c r="G68" s="18">
        <v>21</v>
      </c>
      <c r="H68" s="19">
        <v>15</v>
      </c>
      <c r="I68" s="19"/>
      <c r="J68" s="19">
        <f>ROUND(IR68*H68+IS68*H68,2)</f>
        <v>0</v>
      </c>
      <c r="K68" s="82" t="s">
        <v>293</v>
      </c>
      <c r="HV68" s="2" t="s">
        <v>105</v>
      </c>
      <c r="HW68" s="2" t="s">
        <v>101</v>
      </c>
      <c r="IR68" s="20">
        <f>I68*1</f>
        <v>0</v>
      </c>
      <c r="IS68" s="20">
        <f>I68*(1-1)</f>
        <v>0</v>
      </c>
    </row>
    <row r="69" spans="1:253" ht="13.5" customHeight="1" x14ac:dyDescent="0.25">
      <c r="A69" s="100"/>
      <c r="B69" s="101"/>
      <c r="C69" s="101"/>
      <c r="D69" s="102" t="s">
        <v>126</v>
      </c>
      <c r="E69" s="103"/>
      <c r="F69" s="103"/>
      <c r="G69" s="103"/>
      <c r="H69" s="103"/>
      <c r="I69" s="103"/>
      <c r="J69" s="103"/>
      <c r="K69" s="104"/>
    </row>
    <row r="70" spans="1:253" x14ac:dyDescent="0.25">
      <c r="A70" s="17">
        <v>25</v>
      </c>
      <c r="B70" s="2" t="s">
        <v>26</v>
      </c>
      <c r="C70" s="2" t="s">
        <v>127</v>
      </c>
      <c r="D70" s="114" t="s">
        <v>288</v>
      </c>
      <c r="E70" s="90"/>
      <c r="F70" s="2" t="s">
        <v>110</v>
      </c>
      <c r="G70" s="18">
        <v>21</v>
      </c>
      <c r="H70" s="19">
        <v>10</v>
      </c>
      <c r="I70" s="19"/>
      <c r="J70" s="19">
        <f>ROUND(IR70*H70+IS70*H70,2)</f>
        <v>0</v>
      </c>
      <c r="K70" s="82" t="s">
        <v>293</v>
      </c>
      <c r="HV70" s="2" t="s">
        <v>105</v>
      </c>
      <c r="HW70" s="2" t="s">
        <v>101</v>
      </c>
      <c r="IR70" s="20">
        <f>I70*1</f>
        <v>0</v>
      </c>
      <c r="IS70" s="20">
        <f>I70*(1-1)</f>
        <v>0</v>
      </c>
    </row>
    <row r="71" spans="1:253" ht="13.5" customHeight="1" x14ac:dyDescent="0.25">
      <c r="A71" s="100"/>
      <c r="B71" s="101"/>
      <c r="C71" s="101"/>
      <c r="D71" s="102" t="s">
        <v>129</v>
      </c>
      <c r="E71" s="103"/>
      <c r="F71" s="103"/>
      <c r="G71" s="103"/>
      <c r="H71" s="103"/>
      <c r="I71" s="103"/>
      <c r="J71" s="103"/>
      <c r="K71" s="104"/>
    </row>
    <row r="72" spans="1:253" x14ac:dyDescent="0.25">
      <c r="A72" s="12" t="s">
        <v>25</v>
      </c>
      <c r="B72" s="13" t="s">
        <v>130</v>
      </c>
      <c r="C72" s="13" t="s">
        <v>27</v>
      </c>
      <c r="D72" s="98" t="s">
        <v>131</v>
      </c>
      <c r="E72" s="99"/>
      <c r="F72" s="13" t="s">
        <v>25</v>
      </c>
      <c r="G72" s="14" t="s">
        <v>25</v>
      </c>
      <c r="H72" s="14" t="s">
        <v>25</v>
      </c>
      <c r="I72" s="14" t="s">
        <v>25</v>
      </c>
      <c r="J72" s="15">
        <f>J73+J78+J81</f>
        <v>0</v>
      </c>
      <c r="K72" s="16" t="s">
        <v>25</v>
      </c>
    </row>
    <row r="73" spans="1:253" x14ac:dyDescent="0.25">
      <c r="A73" s="12" t="s">
        <v>25</v>
      </c>
      <c r="B73" s="13" t="s">
        <v>130</v>
      </c>
      <c r="C73" s="13" t="s">
        <v>36</v>
      </c>
      <c r="D73" s="117" t="s">
        <v>301</v>
      </c>
      <c r="E73" s="99"/>
      <c r="F73" s="13" t="s">
        <v>25</v>
      </c>
      <c r="G73" s="14" t="s">
        <v>25</v>
      </c>
      <c r="H73" s="14" t="s">
        <v>25</v>
      </c>
      <c r="I73" s="14" t="s">
        <v>25</v>
      </c>
      <c r="J73" s="15">
        <f>SUM(J74:J76)</f>
        <v>0</v>
      </c>
      <c r="K73" s="16" t="s">
        <v>25</v>
      </c>
    </row>
    <row r="74" spans="1:253" x14ac:dyDescent="0.25">
      <c r="A74" s="17">
        <v>26</v>
      </c>
      <c r="B74" s="2" t="s">
        <v>130</v>
      </c>
      <c r="C74" s="2" t="s">
        <v>132</v>
      </c>
      <c r="D74" s="96" t="s">
        <v>133</v>
      </c>
      <c r="E74" s="90"/>
      <c r="F74" s="2" t="s">
        <v>39</v>
      </c>
      <c r="G74" s="18">
        <v>21</v>
      </c>
      <c r="H74" s="19">
        <v>102</v>
      </c>
      <c r="I74" s="19"/>
      <c r="J74" s="19">
        <f>ROUND(IR74*H74+IS74*H74,2)</f>
        <v>0</v>
      </c>
      <c r="K74" s="4" t="s">
        <v>34</v>
      </c>
      <c r="HV74" s="2" t="s">
        <v>36</v>
      </c>
      <c r="HW74" s="2" t="s">
        <v>35</v>
      </c>
      <c r="IR74" s="20">
        <f>I74*0</f>
        <v>0</v>
      </c>
      <c r="IS74" s="20">
        <f>I74*(1-0)</f>
        <v>0</v>
      </c>
    </row>
    <row r="75" spans="1:253" ht="13.5" customHeight="1" x14ac:dyDescent="0.25">
      <c r="A75" s="100"/>
      <c r="B75" s="101"/>
      <c r="C75" s="101"/>
      <c r="D75" s="102" t="s">
        <v>134</v>
      </c>
      <c r="E75" s="103"/>
      <c r="F75" s="103"/>
      <c r="G75" s="103"/>
      <c r="H75" s="103"/>
      <c r="I75" s="103"/>
      <c r="J75" s="103"/>
      <c r="K75" s="104"/>
    </row>
    <row r="76" spans="1:253" x14ac:dyDescent="0.25">
      <c r="A76" s="17">
        <v>27</v>
      </c>
      <c r="B76" s="2" t="s">
        <v>130</v>
      </c>
      <c r="C76" s="2" t="s">
        <v>58</v>
      </c>
      <c r="D76" s="96" t="s">
        <v>135</v>
      </c>
      <c r="E76" s="90"/>
      <c r="F76" s="2" t="s">
        <v>39</v>
      </c>
      <c r="G76" s="18">
        <v>21</v>
      </c>
      <c r="H76" s="19">
        <v>223</v>
      </c>
      <c r="I76" s="19"/>
      <c r="J76" s="19">
        <f>ROUND(IR76*H76+IS76*H76,2)</f>
        <v>0</v>
      </c>
      <c r="K76" s="4" t="s">
        <v>34</v>
      </c>
      <c r="HV76" s="2" t="s">
        <v>36</v>
      </c>
      <c r="HW76" s="2" t="s">
        <v>35</v>
      </c>
      <c r="IR76" s="20">
        <f>I76*0</f>
        <v>0</v>
      </c>
      <c r="IS76" s="20">
        <f>I76*(1-0)</f>
        <v>0</v>
      </c>
    </row>
    <row r="77" spans="1:253" ht="13.5" customHeight="1" x14ac:dyDescent="0.25">
      <c r="A77" s="100"/>
      <c r="B77" s="101"/>
      <c r="C77" s="101"/>
      <c r="D77" s="102" t="s">
        <v>136</v>
      </c>
      <c r="E77" s="103"/>
      <c r="F77" s="103"/>
      <c r="G77" s="103"/>
      <c r="H77" s="103"/>
      <c r="I77" s="103"/>
      <c r="J77" s="103"/>
      <c r="K77" s="104"/>
    </row>
    <row r="78" spans="1:253" x14ac:dyDescent="0.25">
      <c r="A78" s="12" t="s">
        <v>25</v>
      </c>
      <c r="B78" s="13" t="s">
        <v>130</v>
      </c>
      <c r="C78" s="13" t="s">
        <v>137</v>
      </c>
      <c r="D78" s="98" t="s">
        <v>138</v>
      </c>
      <c r="E78" s="99"/>
      <c r="F78" s="13" t="s">
        <v>25</v>
      </c>
      <c r="G78" s="14" t="s">
        <v>25</v>
      </c>
      <c r="H78" s="14" t="s">
        <v>25</v>
      </c>
      <c r="I78" s="14" t="s">
        <v>25</v>
      </c>
      <c r="J78" s="15">
        <f>SUM(J79:J79)</f>
        <v>0</v>
      </c>
      <c r="K78" s="16" t="s">
        <v>25</v>
      </c>
    </row>
    <row r="79" spans="1:253" x14ac:dyDescent="0.25">
      <c r="A79" s="17">
        <v>28</v>
      </c>
      <c r="B79" s="2" t="s">
        <v>130</v>
      </c>
      <c r="C79" s="2" t="s">
        <v>139</v>
      </c>
      <c r="D79" s="96" t="s">
        <v>302</v>
      </c>
      <c r="E79" s="90"/>
      <c r="F79" s="81" t="s">
        <v>292</v>
      </c>
      <c r="G79" s="18">
        <v>21</v>
      </c>
      <c r="H79" s="19">
        <v>10</v>
      </c>
      <c r="I79" s="19"/>
      <c r="J79" s="19">
        <f>ROUND(IR79*H79+IS79*H79,2)</f>
        <v>0</v>
      </c>
      <c r="K79" s="4" t="s">
        <v>34</v>
      </c>
      <c r="HV79" s="2" t="s">
        <v>137</v>
      </c>
      <c r="HW79" s="2" t="s">
        <v>35</v>
      </c>
      <c r="IR79" s="20">
        <f>I79*0</f>
        <v>0</v>
      </c>
      <c r="IS79" s="20">
        <f>I79*(1-0)</f>
        <v>0</v>
      </c>
    </row>
    <row r="80" spans="1:253" ht="13.5" customHeight="1" x14ac:dyDescent="0.25">
      <c r="A80" s="100"/>
      <c r="B80" s="101"/>
      <c r="C80" s="101"/>
      <c r="D80" s="102" t="s">
        <v>129</v>
      </c>
      <c r="E80" s="103"/>
      <c r="F80" s="103"/>
      <c r="G80" s="103"/>
      <c r="H80" s="103"/>
      <c r="I80" s="103"/>
      <c r="J80" s="103"/>
      <c r="K80" s="104"/>
    </row>
    <row r="81" spans="1:253" x14ac:dyDescent="0.25">
      <c r="A81" s="12" t="s">
        <v>25</v>
      </c>
      <c r="B81" s="13" t="s">
        <v>130</v>
      </c>
      <c r="C81" s="13" t="s">
        <v>101</v>
      </c>
      <c r="D81" s="98" t="s">
        <v>102</v>
      </c>
      <c r="E81" s="99"/>
      <c r="F81" s="13" t="s">
        <v>25</v>
      </c>
      <c r="G81" s="14" t="s">
        <v>25</v>
      </c>
      <c r="H81" s="14" t="s">
        <v>25</v>
      </c>
      <c r="I81" s="14" t="s">
        <v>25</v>
      </c>
      <c r="J81" s="15">
        <f>SUM(J82:J90)</f>
        <v>0</v>
      </c>
      <c r="K81" s="16" t="s">
        <v>25</v>
      </c>
    </row>
    <row r="82" spans="1:253" x14ac:dyDescent="0.25">
      <c r="A82" s="17">
        <v>29</v>
      </c>
      <c r="B82" s="2" t="s">
        <v>130</v>
      </c>
      <c r="C82" s="2" t="s">
        <v>141</v>
      </c>
      <c r="D82" s="96" t="s">
        <v>305</v>
      </c>
      <c r="E82" s="90"/>
      <c r="F82" s="2" t="s">
        <v>87</v>
      </c>
      <c r="G82" s="18">
        <v>21</v>
      </c>
      <c r="H82" s="19">
        <v>1</v>
      </c>
      <c r="I82" s="19"/>
      <c r="J82" s="19">
        <f>ROUND(IR82*H82+IS82*H82,2)</f>
        <v>0</v>
      </c>
      <c r="K82" s="82" t="s">
        <v>293</v>
      </c>
      <c r="HV82" s="2" t="s">
        <v>105</v>
      </c>
      <c r="HW82" s="2" t="s">
        <v>101</v>
      </c>
      <c r="IR82" s="20">
        <f>I82*1</f>
        <v>0</v>
      </c>
      <c r="IS82" s="20">
        <f>I82*(1-1)</f>
        <v>0</v>
      </c>
    </row>
    <row r="83" spans="1:253" ht="13.5" customHeight="1" x14ac:dyDescent="0.25">
      <c r="A83" s="100"/>
      <c r="B83" s="101"/>
      <c r="C83" s="101"/>
      <c r="D83" s="102" t="s">
        <v>143</v>
      </c>
      <c r="E83" s="103"/>
      <c r="F83" s="103"/>
      <c r="G83" s="103"/>
      <c r="H83" s="103"/>
      <c r="I83" s="103"/>
      <c r="J83" s="103"/>
      <c r="K83" s="104"/>
    </row>
    <row r="84" spans="1:253" x14ac:dyDescent="0.25">
      <c r="A84" s="17">
        <v>30</v>
      </c>
      <c r="B84" s="2" t="s">
        <v>130</v>
      </c>
      <c r="C84" s="2" t="s">
        <v>144</v>
      </c>
      <c r="D84" s="96" t="s">
        <v>306</v>
      </c>
      <c r="E84" s="90"/>
      <c r="F84" s="2" t="s">
        <v>87</v>
      </c>
      <c r="G84" s="18">
        <v>21</v>
      </c>
      <c r="H84" s="19">
        <v>1</v>
      </c>
      <c r="I84" s="19"/>
      <c r="J84" s="19">
        <f>ROUND(IR84*H84+IS84*H84,2)</f>
        <v>0</v>
      </c>
      <c r="K84" s="82" t="s">
        <v>293</v>
      </c>
      <c r="HV84" s="2" t="s">
        <v>105</v>
      </c>
      <c r="HW84" s="2" t="s">
        <v>101</v>
      </c>
      <c r="IR84" s="20">
        <f>I84*1</f>
        <v>0</v>
      </c>
      <c r="IS84" s="20">
        <f>I84*(1-1)</f>
        <v>0</v>
      </c>
    </row>
    <row r="85" spans="1:253" ht="13.5" customHeight="1" x14ac:dyDescent="0.25">
      <c r="A85" s="100"/>
      <c r="B85" s="101"/>
      <c r="C85" s="101"/>
      <c r="D85" s="102" t="s">
        <v>143</v>
      </c>
      <c r="E85" s="103"/>
      <c r="F85" s="103"/>
      <c r="G85" s="103"/>
      <c r="H85" s="103"/>
      <c r="I85" s="103"/>
      <c r="J85" s="103"/>
      <c r="K85" s="104"/>
    </row>
    <row r="86" spans="1:253" x14ac:dyDescent="0.25">
      <c r="A86" s="17">
        <v>31</v>
      </c>
      <c r="B86" s="2" t="s">
        <v>130</v>
      </c>
      <c r="C86" s="2" t="s">
        <v>146</v>
      </c>
      <c r="D86" s="96" t="s">
        <v>307</v>
      </c>
      <c r="E86" s="90"/>
      <c r="F86" s="2" t="s">
        <v>87</v>
      </c>
      <c r="G86" s="18">
        <v>21</v>
      </c>
      <c r="H86" s="19">
        <v>1</v>
      </c>
      <c r="I86" s="19"/>
      <c r="J86" s="19">
        <f>ROUND(IR86*H86+IS86*H86,2)</f>
        <v>0</v>
      </c>
      <c r="K86" s="82" t="s">
        <v>293</v>
      </c>
      <c r="HV86" s="2" t="s">
        <v>105</v>
      </c>
      <c r="HW86" s="2" t="s">
        <v>101</v>
      </c>
      <c r="IR86" s="20">
        <f>I86*1</f>
        <v>0</v>
      </c>
      <c r="IS86" s="20">
        <f>I86*(1-1)</f>
        <v>0</v>
      </c>
    </row>
    <row r="87" spans="1:253" ht="13.5" customHeight="1" x14ac:dyDescent="0.25">
      <c r="A87" s="100"/>
      <c r="B87" s="101"/>
      <c r="C87" s="101"/>
      <c r="D87" s="102" t="s">
        <v>143</v>
      </c>
      <c r="E87" s="103"/>
      <c r="F87" s="103"/>
      <c r="G87" s="103"/>
      <c r="H87" s="103"/>
      <c r="I87" s="103"/>
      <c r="J87" s="103"/>
      <c r="K87" s="104"/>
    </row>
    <row r="88" spans="1:253" x14ac:dyDescent="0.25">
      <c r="A88" s="17">
        <v>32</v>
      </c>
      <c r="B88" s="2" t="s">
        <v>130</v>
      </c>
      <c r="C88" s="2" t="s">
        <v>148</v>
      </c>
      <c r="D88" s="114" t="s">
        <v>299</v>
      </c>
      <c r="E88" s="90"/>
      <c r="F88" s="2" t="s">
        <v>87</v>
      </c>
      <c r="G88" s="18">
        <v>21</v>
      </c>
      <c r="H88" s="19">
        <v>1</v>
      </c>
      <c r="I88" s="19"/>
      <c r="J88" s="19">
        <f>ROUND(IR88*H88+IS88*H88,2)</f>
        <v>0</v>
      </c>
      <c r="K88" s="82" t="s">
        <v>293</v>
      </c>
      <c r="HV88" s="2" t="s">
        <v>105</v>
      </c>
      <c r="HW88" s="2" t="s">
        <v>101</v>
      </c>
      <c r="IR88" s="20">
        <f>I88*1</f>
        <v>0</v>
      </c>
      <c r="IS88" s="20">
        <f>I88*(1-1)</f>
        <v>0</v>
      </c>
    </row>
    <row r="89" spans="1:253" ht="13.5" customHeight="1" x14ac:dyDescent="0.25">
      <c r="A89" s="100"/>
      <c r="B89" s="101"/>
      <c r="C89" s="101"/>
      <c r="D89" s="102" t="s">
        <v>143</v>
      </c>
      <c r="E89" s="103"/>
      <c r="F89" s="103"/>
      <c r="G89" s="103"/>
      <c r="H89" s="103"/>
      <c r="I89" s="103"/>
      <c r="J89" s="103"/>
      <c r="K89" s="104"/>
    </row>
    <row r="90" spans="1:253" x14ac:dyDescent="0.25">
      <c r="A90" s="17">
        <v>33</v>
      </c>
      <c r="B90" s="2" t="s">
        <v>130</v>
      </c>
      <c r="C90" s="2" t="s">
        <v>150</v>
      </c>
      <c r="D90" s="96" t="s">
        <v>151</v>
      </c>
      <c r="E90" s="90"/>
      <c r="F90" s="2" t="s">
        <v>33</v>
      </c>
      <c r="G90" s="18">
        <v>21</v>
      </c>
      <c r="H90" s="19">
        <v>53.2</v>
      </c>
      <c r="I90" s="19"/>
      <c r="J90" s="19">
        <f>ROUND(IR90*H90+IS90*H90,2)</f>
        <v>0</v>
      </c>
      <c r="K90" s="82" t="s">
        <v>293</v>
      </c>
      <c r="HV90" s="2" t="s">
        <v>105</v>
      </c>
      <c r="HW90" s="2" t="s">
        <v>101</v>
      </c>
      <c r="IR90" s="20">
        <f>I90*1</f>
        <v>0</v>
      </c>
      <c r="IS90" s="20">
        <f>I90*(1-1)</f>
        <v>0</v>
      </c>
    </row>
    <row r="91" spans="1:253" ht="13.5" customHeight="1" x14ac:dyDescent="0.25">
      <c r="A91" s="118"/>
      <c r="B91" s="119"/>
      <c r="C91" s="119"/>
      <c r="D91" s="120" t="s">
        <v>152</v>
      </c>
      <c r="E91" s="121"/>
      <c r="F91" s="121"/>
      <c r="G91" s="121"/>
      <c r="H91" s="121"/>
      <c r="I91" s="121"/>
      <c r="J91" s="121"/>
      <c r="K91" s="122"/>
    </row>
    <row r="93" spans="1:253" x14ac:dyDescent="0.25">
      <c r="B93" s="83" t="s">
        <v>296</v>
      </c>
      <c r="C93" s="80"/>
      <c r="D93" s="80"/>
      <c r="I93" s="3" t="s">
        <v>153</v>
      </c>
      <c r="J93" s="24">
        <f>ROUND(J12+J14+J37+J40+J44+J47+J50+J54+J73+J78+J81,2)</f>
        <v>0</v>
      </c>
    </row>
    <row r="94" spans="1:253" ht="15" customHeight="1" x14ac:dyDescent="0.25">
      <c r="C94" s="83" t="s">
        <v>295</v>
      </c>
      <c r="D94" s="80"/>
    </row>
    <row r="95" spans="1:253" ht="15" customHeight="1" x14ac:dyDescent="0.25">
      <c r="C95" s="83" t="s">
        <v>298</v>
      </c>
    </row>
  </sheetData>
  <mergeCells count="142">
    <mergeCell ref="D90:E90"/>
    <mergeCell ref="A91:C91"/>
    <mergeCell ref="D91:K91"/>
    <mergeCell ref="D86:E86"/>
    <mergeCell ref="A87:C87"/>
    <mergeCell ref="D87:K87"/>
    <mergeCell ref="D88:E88"/>
    <mergeCell ref="A89:C89"/>
    <mergeCell ref="D89:K89"/>
    <mergeCell ref="D82:E82"/>
    <mergeCell ref="A83:C83"/>
    <mergeCell ref="D83:K83"/>
    <mergeCell ref="D84:E84"/>
    <mergeCell ref="A85:C85"/>
    <mergeCell ref="D85:K85"/>
    <mergeCell ref="D78:E78"/>
    <mergeCell ref="D79:E79"/>
    <mergeCell ref="A80:C80"/>
    <mergeCell ref="D80:K80"/>
    <mergeCell ref="D81:E81"/>
    <mergeCell ref="D74:E74"/>
    <mergeCell ref="A75:C75"/>
    <mergeCell ref="D75:K75"/>
    <mergeCell ref="D76:E76"/>
    <mergeCell ref="A77:C77"/>
    <mergeCell ref="D77:K77"/>
    <mergeCell ref="D70:E70"/>
    <mergeCell ref="A71:C71"/>
    <mergeCell ref="D71:K71"/>
    <mergeCell ref="D72:E72"/>
    <mergeCell ref="D73:E73"/>
    <mergeCell ref="D66:E66"/>
    <mergeCell ref="A67:C67"/>
    <mergeCell ref="D67:K67"/>
    <mergeCell ref="D68:E68"/>
    <mergeCell ref="A69:C69"/>
    <mergeCell ref="D69:K69"/>
    <mergeCell ref="D62:E62"/>
    <mergeCell ref="A63:C63"/>
    <mergeCell ref="D63:K63"/>
    <mergeCell ref="D64:E64"/>
    <mergeCell ref="A65:C65"/>
    <mergeCell ref="D65:K65"/>
    <mergeCell ref="D58:E58"/>
    <mergeCell ref="A59:C59"/>
    <mergeCell ref="D59:K59"/>
    <mergeCell ref="D60:E60"/>
    <mergeCell ref="A61:C61"/>
    <mergeCell ref="D61:K61"/>
    <mergeCell ref="D55:E55"/>
    <mergeCell ref="A56:C56"/>
    <mergeCell ref="D56:K56"/>
    <mergeCell ref="A57:C57"/>
    <mergeCell ref="D57:K57"/>
    <mergeCell ref="A52:C52"/>
    <mergeCell ref="D52:K52"/>
    <mergeCell ref="A53:C53"/>
    <mergeCell ref="D53:K53"/>
    <mergeCell ref="D54:E54"/>
    <mergeCell ref="D48:E48"/>
    <mergeCell ref="A49:C49"/>
    <mergeCell ref="D49:K49"/>
    <mergeCell ref="D50:E50"/>
    <mergeCell ref="D51:E51"/>
    <mergeCell ref="D44:E44"/>
    <mergeCell ref="D45:E45"/>
    <mergeCell ref="A46:C46"/>
    <mergeCell ref="D46:K46"/>
    <mergeCell ref="D47:E47"/>
    <mergeCell ref="D41:E41"/>
    <mergeCell ref="A42:C42"/>
    <mergeCell ref="D42:K42"/>
    <mergeCell ref="A43:C43"/>
    <mergeCell ref="D43:K43"/>
    <mergeCell ref="D37:E37"/>
    <mergeCell ref="D38:E38"/>
    <mergeCell ref="A39:C39"/>
    <mergeCell ref="D39:K39"/>
    <mergeCell ref="D40:E40"/>
    <mergeCell ref="D33:E33"/>
    <mergeCell ref="A34:C34"/>
    <mergeCell ref="D34:K34"/>
    <mergeCell ref="D35:E35"/>
    <mergeCell ref="A36:C36"/>
    <mergeCell ref="D36:K36"/>
    <mergeCell ref="D29:E29"/>
    <mergeCell ref="A30:C30"/>
    <mergeCell ref="D30:K30"/>
    <mergeCell ref="D31:E31"/>
    <mergeCell ref="A32:C32"/>
    <mergeCell ref="D32:K32"/>
    <mergeCell ref="D25:E25"/>
    <mergeCell ref="A26:C26"/>
    <mergeCell ref="D26:K26"/>
    <mergeCell ref="D27:E27"/>
    <mergeCell ref="A28:C28"/>
    <mergeCell ref="D28:K28"/>
    <mergeCell ref="D21:E21"/>
    <mergeCell ref="A22:C22"/>
    <mergeCell ref="D22:K22"/>
    <mergeCell ref="D23:E23"/>
    <mergeCell ref="A24:C24"/>
    <mergeCell ref="D24:K24"/>
    <mergeCell ref="D17:E17"/>
    <mergeCell ref="A18:C18"/>
    <mergeCell ref="D18:K18"/>
    <mergeCell ref="D19:E19"/>
    <mergeCell ref="A20:C20"/>
    <mergeCell ref="D20:K20"/>
    <mergeCell ref="D12:E12"/>
    <mergeCell ref="D13:E13"/>
    <mergeCell ref="D14:E14"/>
    <mergeCell ref="D15:E15"/>
    <mergeCell ref="A16:C16"/>
    <mergeCell ref="D16:K16"/>
    <mergeCell ref="I2:K3"/>
    <mergeCell ref="I4:K5"/>
    <mergeCell ref="I6:K7"/>
    <mergeCell ref="I8:K9"/>
    <mergeCell ref="D11:E11"/>
    <mergeCell ref="G6:G7"/>
    <mergeCell ref="G8:G9"/>
    <mergeCell ref="H2:H3"/>
    <mergeCell ref="H4:H5"/>
    <mergeCell ref="H6:H7"/>
    <mergeCell ref="H8:H9"/>
    <mergeCell ref="D10:E10"/>
    <mergeCell ref="A1:K1"/>
    <mergeCell ref="A2:C3"/>
    <mergeCell ref="A4:C5"/>
    <mergeCell ref="A6:C7"/>
    <mergeCell ref="A8:C9"/>
    <mergeCell ref="D2:D3"/>
    <mergeCell ref="D4:D5"/>
    <mergeCell ref="D6:D7"/>
    <mergeCell ref="D8:D9"/>
    <mergeCell ref="E2:F3"/>
    <mergeCell ref="E4:F5"/>
    <mergeCell ref="E6:F7"/>
    <mergeCell ref="E8:F9"/>
    <mergeCell ref="G2:G3"/>
    <mergeCell ref="G4:G5"/>
  </mergeCells>
  <pageMargins left="0.393999993801117" right="0.393999993801117" top="0.59100002050399802" bottom="0.59100002050399802" header="0" footer="0"/>
  <pageSetup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7"/>
  <sheetViews>
    <sheetView tabSelected="1" topLeftCell="A7" workbookViewId="0">
      <selection activeCell="K14" sqref="K14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23" t="s">
        <v>226</v>
      </c>
      <c r="B1" s="86"/>
      <c r="C1" s="86"/>
      <c r="D1" s="86"/>
      <c r="E1" s="86"/>
      <c r="F1" s="86"/>
      <c r="G1" s="86"/>
      <c r="H1" s="86"/>
      <c r="I1" s="86"/>
    </row>
    <row r="2" spans="1:9" x14ac:dyDescent="0.25">
      <c r="A2" s="87" t="s">
        <v>1</v>
      </c>
      <c r="B2" s="88"/>
      <c r="C2" s="126" t="s">
        <v>303</v>
      </c>
      <c r="D2" s="127"/>
      <c r="E2" s="110" t="s">
        <v>3</v>
      </c>
      <c r="F2" s="124" t="s">
        <v>290</v>
      </c>
      <c r="G2" s="88"/>
      <c r="H2" s="110" t="s">
        <v>227</v>
      </c>
      <c r="I2" s="105" t="s">
        <v>291</v>
      </c>
    </row>
    <row r="3" spans="1:9" ht="15" customHeight="1" x14ac:dyDescent="0.25">
      <c r="A3" s="89"/>
      <c r="B3" s="90"/>
      <c r="C3" s="128"/>
      <c r="D3" s="128"/>
      <c r="E3" s="90"/>
      <c r="F3" s="90"/>
      <c r="G3" s="90"/>
      <c r="H3" s="90"/>
      <c r="I3" s="106"/>
    </row>
    <row r="4" spans="1:9" x14ac:dyDescent="0.25">
      <c r="A4" s="91" t="s">
        <v>4</v>
      </c>
      <c r="B4" s="90"/>
      <c r="C4" s="96" t="str">
        <f>'Stavební rozpočet'!D4</f>
        <v xml:space="preserve"> </v>
      </c>
      <c r="D4" s="90"/>
      <c r="E4" s="111" t="s">
        <v>6</v>
      </c>
      <c r="F4" s="114" t="s">
        <v>289</v>
      </c>
      <c r="G4" s="90"/>
      <c r="H4" s="111" t="s">
        <v>227</v>
      </c>
      <c r="I4" s="106">
        <v>6220461</v>
      </c>
    </row>
    <row r="5" spans="1:9" ht="15" customHeight="1" x14ac:dyDescent="0.25">
      <c r="A5" s="89"/>
      <c r="B5" s="90"/>
      <c r="C5" s="90"/>
      <c r="D5" s="90"/>
      <c r="E5" s="90"/>
      <c r="F5" s="90"/>
      <c r="G5" s="90"/>
      <c r="H5" s="90"/>
      <c r="I5" s="106"/>
    </row>
    <row r="6" spans="1:9" x14ac:dyDescent="0.25">
      <c r="A6" s="91" t="s">
        <v>7</v>
      </c>
      <c r="B6" s="90"/>
      <c r="C6" s="96" t="str">
        <f>'Stavební rozpočet'!D6</f>
        <v>k.ú. Hrubšice</v>
      </c>
      <c r="D6" s="90"/>
      <c r="E6" s="111" t="s">
        <v>9</v>
      </c>
      <c r="F6" s="96" t="str">
        <f>'Stavební rozpočet'!J6</f>
        <v> </v>
      </c>
      <c r="G6" s="90"/>
      <c r="H6" s="111" t="s">
        <v>227</v>
      </c>
      <c r="I6" s="106" t="s">
        <v>27</v>
      </c>
    </row>
    <row r="7" spans="1:9" ht="15" customHeight="1" x14ac:dyDescent="0.25">
      <c r="A7" s="89"/>
      <c r="B7" s="90"/>
      <c r="C7" s="90"/>
      <c r="D7" s="90"/>
      <c r="E7" s="90"/>
      <c r="F7" s="90"/>
      <c r="G7" s="90"/>
      <c r="H7" s="90"/>
      <c r="I7" s="106"/>
    </row>
    <row r="8" spans="1:9" x14ac:dyDescent="0.25">
      <c r="A8" s="91" t="s">
        <v>5</v>
      </c>
      <c r="B8" s="90"/>
      <c r="C8" s="96" t="str">
        <f>'Stavební rozpočet'!H4</f>
        <v>18.09.2025</v>
      </c>
      <c r="D8" s="90"/>
      <c r="E8" s="111" t="s">
        <v>8</v>
      </c>
      <c r="F8" s="96" t="str">
        <f>'Stavební rozpočet'!H6</f>
        <v xml:space="preserve"> </v>
      </c>
      <c r="G8" s="90"/>
      <c r="H8" s="129" t="s">
        <v>228</v>
      </c>
      <c r="I8" s="125">
        <v>33</v>
      </c>
    </row>
    <row r="9" spans="1:9" x14ac:dyDescent="0.25">
      <c r="A9" s="89"/>
      <c r="B9" s="90"/>
      <c r="C9" s="90"/>
      <c r="D9" s="90"/>
      <c r="E9" s="90"/>
      <c r="F9" s="90"/>
      <c r="G9" s="90"/>
      <c r="H9" s="90"/>
      <c r="I9" s="106"/>
    </row>
    <row r="10" spans="1:9" x14ac:dyDescent="0.25">
      <c r="A10" s="91" t="s">
        <v>10</v>
      </c>
      <c r="B10" s="90"/>
      <c r="C10" s="96" t="str">
        <f>'Stavební rozpočet'!D8</f>
        <v xml:space="preserve"> </v>
      </c>
      <c r="D10" s="90"/>
      <c r="E10" s="111" t="s">
        <v>12</v>
      </c>
      <c r="F10" s="96" t="str">
        <f>'Stavební rozpočet'!J8</f>
        <v>Ing.Jiří Dvořák</v>
      </c>
      <c r="G10" s="90"/>
      <c r="H10" s="129" t="s">
        <v>229</v>
      </c>
      <c r="I10" s="130" t="str">
        <f>'Stavební rozpočet'!H8</f>
        <v>18.09.2025</v>
      </c>
    </row>
    <row r="11" spans="1:9" x14ac:dyDescent="0.25">
      <c r="A11" s="92"/>
      <c r="B11" s="93"/>
      <c r="C11" s="93"/>
      <c r="D11" s="93"/>
      <c r="E11" s="93"/>
      <c r="F11" s="93"/>
      <c r="G11" s="93"/>
      <c r="H11" s="93"/>
      <c r="I11" s="107"/>
    </row>
    <row r="12" spans="1:9" ht="23.25" x14ac:dyDescent="0.25">
      <c r="A12" s="131" t="s">
        <v>230</v>
      </c>
      <c r="B12" s="131"/>
      <c r="C12" s="131"/>
      <c r="D12" s="131"/>
      <c r="E12" s="131"/>
      <c r="F12" s="131"/>
      <c r="G12" s="131"/>
      <c r="H12" s="131"/>
      <c r="I12" s="131"/>
    </row>
    <row r="13" spans="1:9" ht="26.25" customHeight="1" x14ac:dyDescent="0.25">
      <c r="A13" s="57" t="s">
        <v>231</v>
      </c>
      <c r="B13" s="132" t="s">
        <v>232</v>
      </c>
      <c r="C13" s="133"/>
      <c r="D13" s="58" t="s">
        <v>233</v>
      </c>
      <c r="E13" s="132" t="s">
        <v>234</v>
      </c>
      <c r="F13" s="133"/>
      <c r="G13" s="58" t="s">
        <v>235</v>
      </c>
      <c r="H13" s="132" t="s">
        <v>236</v>
      </c>
      <c r="I13" s="133"/>
    </row>
    <row r="14" spans="1:9" ht="15.75" x14ac:dyDescent="0.25">
      <c r="A14" s="59" t="s">
        <v>237</v>
      </c>
      <c r="B14" s="60" t="s">
        <v>238</v>
      </c>
      <c r="C14" s="61">
        <f>SUM('Stavební rozpočet'!AB12:AB436)</f>
        <v>0</v>
      </c>
      <c r="D14" s="140" t="s">
        <v>239</v>
      </c>
      <c r="E14" s="141"/>
      <c r="F14" s="61">
        <f>VORN!I15</f>
        <v>0</v>
      </c>
      <c r="G14" s="140" t="s">
        <v>240</v>
      </c>
      <c r="H14" s="141"/>
      <c r="I14" s="61">
        <f>VORN!I21</f>
        <v>0</v>
      </c>
    </row>
    <row r="15" spans="1:9" ht="15.75" x14ac:dyDescent="0.25">
      <c r="A15" s="62" t="s">
        <v>27</v>
      </c>
      <c r="B15" s="60" t="s">
        <v>162</v>
      </c>
      <c r="C15" s="61">
        <f>SUM('Stavební rozpočet'!AC12:AC436)</f>
        <v>0</v>
      </c>
      <c r="D15" s="140" t="s">
        <v>241</v>
      </c>
      <c r="E15" s="141"/>
      <c r="F15" s="61">
        <f>VORN!I16</f>
        <v>0</v>
      </c>
      <c r="G15" s="140" t="s">
        <v>242</v>
      </c>
      <c r="H15" s="141"/>
      <c r="I15" s="61">
        <f>VORN!I22</f>
        <v>0</v>
      </c>
    </row>
    <row r="16" spans="1:9" ht="15.75" x14ac:dyDescent="0.25">
      <c r="A16" s="59" t="s">
        <v>243</v>
      </c>
      <c r="B16" s="60" t="s">
        <v>238</v>
      </c>
      <c r="C16" s="61">
        <f>SUM('Stavební rozpočet'!AD12:AD436)</f>
        <v>0</v>
      </c>
      <c r="D16" s="140" t="s">
        <v>244</v>
      </c>
      <c r="E16" s="141"/>
      <c r="F16" s="61">
        <f>VORN!I17</f>
        <v>0</v>
      </c>
      <c r="G16" s="140" t="s">
        <v>245</v>
      </c>
      <c r="H16" s="141"/>
      <c r="I16" s="61">
        <f>VORN!I23</f>
        <v>0</v>
      </c>
    </row>
    <row r="17" spans="1:9" ht="15.75" x14ac:dyDescent="0.25">
      <c r="A17" s="62" t="s">
        <v>27</v>
      </c>
      <c r="B17" s="60" t="s">
        <v>162</v>
      </c>
      <c r="C17" s="61">
        <f>SUM('Stavební rozpočet'!AE12:AE436)</f>
        <v>0</v>
      </c>
      <c r="D17" s="140" t="s">
        <v>27</v>
      </c>
      <c r="E17" s="141"/>
      <c r="F17" s="63" t="s">
        <v>27</v>
      </c>
      <c r="G17" s="140" t="s">
        <v>246</v>
      </c>
      <c r="H17" s="141"/>
      <c r="I17" s="61">
        <f>VORN!I24</f>
        <v>0</v>
      </c>
    </row>
    <row r="18" spans="1:9" ht="15.75" x14ac:dyDescent="0.25">
      <c r="A18" s="59" t="s">
        <v>247</v>
      </c>
      <c r="B18" s="60" t="s">
        <v>238</v>
      </c>
      <c r="C18" s="61">
        <f>SUM('Stavební rozpočet'!AF12:AF436)</f>
        <v>0</v>
      </c>
      <c r="D18" s="140" t="s">
        <v>27</v>
      </c>
      <c r="E18" s="141"/>
      <c r="F18" s="63" t="s">
        <v>27</v>
      </c>
      <c r="G18" s="140" t="s">
        <v>248</v>
      </c>
      <c r="H18" s="141"/>
      <c r="I18" s="61">
        <f>VORN!I25</f>
        <v>0</v>
      </c>
    </row>
    <row r="19" spans="1:9" ht="15.75" x14ac:dyDescent="0.25">
      <c r="A19" s="62" t="s">
        <v>27</v>
      </c>
      <c r="B19" s="60" t="s">
        <v>162</v>
      </c>
      <c r="C19" s="61">
        <f>SUM('Stavební rozpočet'!AG12:AG436)</f>
        <v>0</v>
      </c>
      <c r="D19" s="140" t="s">
        <v>27</v>
      </c>
      <c r="E19" s="141"/>
      <c r="F19" s="63" t="s">
        <v>27</v>
      </c>
      <c r="G19" s="140" t="s">
        <v>249</v>
      </c>
      <c r="H19" s="141"/>
      <c r="I19" s="61">
        <f>VORN!I26</f>
        <v>0</v>
      </c>
    </row>
    <row r="20" spans="1:9" ht="15.75" x14ac:dyDescent="0.25">
      <c r="A20" s="134" t="s">
        <v>102</v>
      </c>
      <c r="B20" s="135"/>
      <c r="C20" s="61">
        <f>SUM('Stavební rozpočet'!AH12:AH436)</f>
        <v>0</v>
      </c>
      <c r="D20" s="140" t="s">
        <v>27</v>
      </c>
      <c r="E20" s="141"/>
      <c r="F20" s="63" t="s">
        <v>27</v>
      </c>
      <c r="G20" s="140" t="s">
        <v>27</v>
      </c>
      <c r="H20" s="141"/>
      <c r="I20" s="63" t="s">
        <v>27</v>
      </c>
    </row>
    <row r="21" spans="1:9" ht="15.75" x14ac:dyDescent="0.25">
      <c r="A21" s="136" t="s">
        <v>250</v>
      </c>
      <c r="B21" s="137"/>
      <c r="C21" s="64">
        <f>SUM('Stavební rozpočet'!Z12:Z436)</f>
        <v>0</v>
      </c>
      <c r="D21" s="142" t="s">
        <v>27</v>
      </c>
      <c r="E21" s="143"/>
      <c r="F21" s="65" t="s">
        <v>27</v>
      </c>
      <c r="G21" s="142" t="s">
        <v>27</v>
      </c>
      <c r="H21" s="143"/>
      <c r="I21" s="65" t="s">
        <v>27</v>
      </c>
    </row>
    <row r="22" spans="1:9" ht="16.5" customHeight="1" x14ac:dyDescent="0.25">
      <c r="A22" s="138" t="s">
        <v>251</v>
      </c>
      <c r="B22" s="139"/>
      <c r="C22" s="66">
        <f>ROUND(SUM(C14:C21),2)</f>
        <v>0</v>
      </c>
      <c r="D22" s="144" t="s">
        <v>252</v>
      </c>
      <c r="E22" s="139"/>
      <c r="F22" s="66">
        <f>SUM(F14:F21)</f>
        <v>0</v>
      </c>
      <c r="G22" s="144" t="s">
        <v>253</v>
      </c>
      <c r="H22" s="139"/>
      <c r="I22" s="66">
        <f>SUM(I14:I21)</f>
        <v>0</v>
      </c>
    </row>
    <row r="23" spans="1:9" ht="15.75" x14ac:dyDescent="0.25">
      <c r="D23" s="134" t="s">
        <v>254</v>
      </c>
      <c r="E23" s="135"/>
      <c r="F23" s="67">
        <v>0</v>
      </c>
      <c r="G23" s="145" t="s">
        <v>255</v>
      </c>
      <c r="H23" s="135"/>
      <c r="I23" s="61">
        <v>0</v>
      </c>
    </row>
    <row r="24" spans="1:9" ht="15.75" x14ac:dyDescent="0.25">
      <c r="G24" s="134" t="s">
        <v>256</v>
      </c>
      <c r="H24" s="135"/>
      <c r="I24" s="61">
        <f>vorn_sum</f>
        <v>0</v>
      </c>
    </row>
    <row r="25" spans="1:9" ht="15.75" x14ac:dyDescent="0.25">
      <c r="G25" s="134" t="s">
        <v>257</v>
      </c>
      <c r="H25" s="135"/>
      <c r="I25" s="61">
        <v>0</v>
      </c>
    </row>
    <row r="27" spans="1:9" ht="15.75" x14ac:dyDescent="0.25">
      <c r="A27" s="146" t="s">
        <v>258</v>
      </c>
      <c r="B27" s="147"/>
      <c r="C27" s="68">
        <f>ROUND(SUM('Stavební rozpočet'!AJ12:AJ436),2)</f>
        <v>0</v>
      </c>
    </row>
    <row r="28" spans="1:9" ht="15.75" x14ac:dyDescent="0.25">
      <c r="A28" s="148" t="s">
        <v>259</v>
      </c>
      <c r="B28" s="149"/>
      <c r="C28" s="69">
        <f>ROUND(SUM('Stavební rozpočet'!AK12:AK436),2)</f>
        <v>0</v>
      </c>
      <c r="D28" s="150" t="s">
        <v>260</v>
      </c>
      <c r="E28" s="147"/>
      <c r="F28" s="68">
        <f>ROUND(C28*(12/100),2)</f>
        <v>0</v>
      </c>
      <c r="G28" s="150" t="s">
        <v>261</v>
      </c>
      <c r="H28" s="147"/>
      <c r="I28" s="68">
        <f>ROUND(SUM(C27:C29),2)</f>
        <v>0</v>
      </c>
    </row>
    <row r="29" spans="1:9" ht="15.75" x14ac:dyDescent="0.25">
      <c r="A29" s="148" t="s">
        <v>262</v>
      </c>
      <c r="B29" s="149"/>
      <c r="C29" s="69">
        <f>ROUND(SUM('Stavební rozpočet'!AL12:AL436)+(F22+I22+F23+I23+I24+I25),2)</f>
        <v>0</v>
      </c>
      <c r="D29" s="151" t="s">
        <v>263</v>
      </c>
      <c r="E29" s="149"/>
      <c r="F29" s="69">
        <f>ROUND(C29*(21/100),2)</f>
        <v>0</v>
      </c>
      <c r="G29" s="151" t="s">
        <v>264</v>
      </c>
      <c r="H29" s="149"/>
      <c r="I29" s="69">
        <f>ROUND(SUM(F28:F29)+I28,2)</f>
        <v>0</v>
      </c>
    </row>
    <row r="31" spans="1:9" x14ac:dyDescent="0.25">
      <c r="A31" s="161" t="s">
        <v>265</v>
      </c>
      <c r="B31" s="153"/>
      <c r="C31" s="154"/>
      <c r="D31" s="152" t="s">
        <v>266</v>
      </c>
      <c r="E31" s="153"/>
      <c r="F31" s="154"/>
      <c r="G31" s="152" t="s">
        <v>267</v>
      </c>
      <c r="H31" s="153"/>
      <c r="I31" s="154"/>
    </row>
    <row r="32" spans="1:9" x14ac:dyDescent="0.25">
      <c r="A32" s="162" t="s">
        <v>27</v>
      </c>
      <c r="B32" s="156"/>
      <c r="C32" s="157"/>
      <c r="D32" s="155" t="s">
        <v>27</v>
      </c>
      <c r="E32" s="156"/>
      <c r="F32" s="157"/>
      <c r="G32" s="155" t="s">
        <v>27</v>
      </c>
      <c r="H32" s="156"/>
      <c r="I32" s="157"/>
    </row>
    <row r="33" spans="1:9" x14ac:dyDescent="0.25">
      <c r="A33" s="162" t="s">
        <v>27</v>
      </c>
      <c r="B33" s="156"/>
      <c r="C33" s="157"/>
      <c r="D33" s="155" t="s">
        <v>27</v>
      </c>
      <c r="E33" s="156"/>
      <c r="F33" s="157"/>
      <c r="G33" s="155" t="s">
        <v>27</v>
      </c>
      <c r="H33" s="156"/>
      <c r="I33" s="157"/>
    </row>
    <row r="34" spans="1:9" x14ac:dyDescent="0.25">
      <c r="A34" s="162" t="s">
        <v>27</v>
      </c>
      <c r="B34" s="156"/>
      <c r="C34" s="157"/>
      <c r="D34" s="155" t="s">
        <v>27</v>
      </c>
      <c r="E34" s="156"/>
      <c r="F34" s="157"/>
      <c r="G34" s="155" t="s">
        <v>27</v>
      </c>
      <c r="H34" s="156"/>
      <c r="I34" s="157"/>
    </row>
    <row r="35" spans="1:9" x14ac:dyDescent="0.25">
      <c r="A35" s="163" t="s">
        <v>268</v>
      </c>
      <c r="B35" s="159"/>
      <c r="C35" s="160"/>
      <c r="D35" s="158" t="s">
        <v>268</v>
      </c>
      <c r="E35" s="159"/>
      <c r="F35" s="160"/>
      <c r="G35" s="158" t="s">
        <v>268</v>
      </c>
      <c r="H35" s="159"/>
      <c r="I35" s="160"/>
    </row>
    <row r="36" spans="1:9" x14ac:dyDescent="0.25">
      <c r="A36" s="70" t="s">
        <v>40</v>
      </c>
    </row>
    <row r="37" spans="1:9" ht="12.75" customHeight="1" x14ac:dyDescent="0.25">
      <c r="A37" s="96" t="s">
        <v>27</v>
      </c>
      <c r="B37" s="90"/>
      <c r="C37" s="90"/>
      <c r="D37" s="90"/>
      <c r="E37" s="90"/>
      <c r="F37" s="90"/>
      <c r="G37" s="90"/>
      <c r="H37" s="90"/>
      <c r="I37" s="90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23" t="s">
        <v>269</v>
      </c>
      <c r="B1" s="86"/>
      <c r="C1" s="86"/>
      <c r="D1" s="86"/>
      <c r="E1" s="86"/>
      <c r="F1" s="86"/>
      <c r="G1" s="86"/>
      <c r="H1" s="86"/>
      <c r="I1" s="86"/>
    </row>
    <row r="2" spans="1:9" x14ac:dyDescent="0.25">
      <c r="A2" s="164" t="s">
        <v>1</v>
      </c>
      <c r="B2" s="88"/>
      <c r="C2" s="166" t="str">
        <f>'Stavební rozpočet'!D2</f>
        <v>Nové hřiště v Hrubšicích etapa I.</v>
      </c>
      <c r="D2" s="167"/>
      <c r="E2" s="97" t="s">
        <v>3</v>
      </c>
      <c r="F2" s="97" t="str">
        <f>'Stavební rozpočet'!J2</f>
        <v> </v>
      </c>
      <c r="G2" s="88"/>
      <c r="H2" s="97" t="s">
        <v>227</v>
      </c>
      <c r="I2" s="105" t="s">
        <v>27</v>
      </c>
    </row>
    <row r="3" spans="1:9" ht="15" customHeight="1" x14ac:dyDescent="0.25">
      <c r="A3" s="89"/>
      <c r="B3" s="90"/>
      <c r="C3" s="168"/>
      <c r="D3" s="168"/>
      <c r="E3" s="90"/>
      <c r="F3" s="90"/>
      <c r="G3" s="90"/>
      <c r="H3" s="90"/>
      <c r="I3" s="106"/>
    </row>
    <row r="4" spans="1:9" x14ac:dyDescent="0.25">
      <c r="A4" s="165" t="s">
        <v>4</v>
      </c>
      <c r="B4" s="90"/>
      <c r="C4" s="96" t="str">
        <f>'Stavební rozpočet'!D4</f>
        <v xml:space="preserve"> </v>
      </c>
      <c r="D4" s="90"/>
      <c r="E4" s="96" t="s">
        <v>6</v>
      </c>
      <c r="F4" s="96" t="str">
        <f>'Stavební rozpočet'!J4</f>
        <v> </v>
      </c>
      <c r="G4" s="90"/>
      <c r="H4" s="96" t="s">
        <v>227</v>
      </c>
      <c r="I4" s="106" t="s">
        <v>27</v>
      </c>
    </row>
    <row r="5" spans="1:9" ht="15" customHeight="1" x14ac:dyDescent="0.25">
      <c r="A5" s="89"/>
      <c r="B5" s="90"/>
      <c r="C5" s="90"/>
      <c r="D5" s="90"/>
      <c r="E5" s="90"/>
      <c r="F5" s="90"/>
      <c r="G5" s="90"/>
      <c r="H5" s="90"/>
      <c r="I5" s="106"/>
    </row>
    <row r="6" spans="1:9" x14ac:dyDescent="0.25">
      <c r="A6" s="165" t="s">
        <v>7</v>
      </c>
      <c r="B6" s="90"/>
      <c r="C6" s="96" t="str">
        <f>'Stavební rozpočet'!D6</f>
        <v>k.ú. Hrubšice</v>
      </c>
      <c r="D6" s="90"/>
      <c r="E6" s="96" t="s">
        <v>9</v>
      </c>
      <c r="F6" s="96" t="str">
        <f>'Stavební rozpočet'!J6</f>
        <v> </v>
      </c>
      <c r="G6" s="90"/>
      <c r="H6" s="96" t="s">
        <v>227</v>
      </c>
      <c r="I6" s="106" t="s">
        <v>27</v>
      </c>
    </row>
    <row r="7" spans="1:9" ht="15" customHeight="1" x14ac:dyDescent="0.25">
      <c r="A7" s="89"/>
      <c r="B7" s="90"/>
      <c r="C7" s="90"/>
      <c r="D7" s="90"/>
      <c r="E7" s="90"/>
      <c r="F7" s="90"/>
      <c r="G7" s="90"/>
      <c r="H7" s="90"/>
      <c r="I7" s="106"/>
    </row>
    <row r="8" spans="1:9" x14ac:dyDescent="0.25">
      <c r="A8" s="165" t="s">
        <v>5</v>
      </c>
      <c r="B8" s="90"/>
      <c r="C8" s="96" t="str">
        <f>'Stavební rozpočet'!H4</f>
        <v>18.09.2025</v>
      </c>
      <c r="D8" s="90"/>
      <c r="E8" s="96" t="s">
        <v>8</v>
      </c>
      <c r="F8" s="96" t="str">
        <f>'Stavební rozpočet'!H6</f>
        <v xml:space="preserve"> </v>
      </c>
      <c r="G8" s="90"/>
      <c r="H8" s="90" t="s">
        <v>228</v>
      </c>
      <c r="I8" s="125">
        <v>33</v>
      </c>
    </row>
    <row r="9" spans="1:9" x14ac:dyDescent="0.25">
      <c r="A9" s="89"/>
      <c r="B9" s="90"/>
      <c r="C9" s="90"/>
      <c r="D9" s="90"/>
      <c r="E9" s="90"/>
      <c r="F9" s="90"/>
      <c r="G9" s="90"/>
      <c r="H9" s="90"/>
      <c r="I9" s="106"/>
    </row>
    <row r="10" spans="1:9" x14ac:dyDescent="0.25">
      <c r="A10" s="165" t="s">
        <v>10</v>
      </c>
      <c r="B10" s="90"/>
      <c r="C10" s="96" t="str">
        <f>'Stavební rozpočet'!D8</f>
        <v xml:space="preserve"> </v>
      </c>
      <c r="D10" s="90"/>
      <c r="E10" s="96" t="s">
        <v>12</v>
      </c>
      <c r="F10" s="96" t="str">
        <f>'Stavební rozpočet'!J8</f>
        <v>Ing.Jiří Dvořák</v>
      </c>
      <c r="G10" s="90"/>
      <c r="H10" s="90" t="s">
        <v>229</v>
      </c>
      <c r="I10" s="130" t="str">
        <f>'Stavební rozpočet'!H8</f>
        <v>18.09.2025</v>
      </c>
    </row>
    <row r="11" spans="1:9" x14ac:dyDescent="0.25">
      <c r="A11" s="92"/>
      <c r="B11" s="93"/>
      <c r="C11" s="93"/>
      <c r="D11" s="93"/>
      <c r="E11" s="93"/>
      <c r="F11" s="93"/>
      <c r="G11" s="93"/>
      <c r="H11" s="93"/>
      <c r="I11" s="107"/>
    </row>
    <row r="13" spans="1:9" ht="15.75" x14ac:dyDescent="0.25">
      <c r="A13" s="169" t="s">
        <v>270</v>
      </c>
      <c r="B13" s="169"/>
      <c r="C13" s="169"/>
      <c r="D13" s="169"/>
      <c r="E13" s="169"/>
    </row>
    <row r="14" spans="1:9" x14ac:dyDescent="0.25">
      <c r="A14" s="170" t="s">
        <v>271</v>
      </c>
      <c r="B14" s="171"/>
      <c r="C14" s="171"/>
      <c r="D14" s="171"/>
      <c r="E14" s="172"/>
      <c r="F14" s="71" t="s">
        <v>272</v>
      </c>
      <c r="G14" s="71" t="s">
        <v>273</v>
      </c>
      <c r="H14" s="71" t="s">
        <v>274</v>
      </c>
      <c r="I14" s="71" t="s">
        <v>272</v>
      </c>
    </row>
    <row r="15" spans="1:9" x14ac:dyDescent="0.25">
      <c r="A15" s="173" t="s">
        <v>239</v>
      </c>
      <c r="B15" s="174"/>
      <c r="C15" s="174"/>
      <c r="D15" s="174"/>
      <c r="E15" s="175"/>
      <c r="F15" s="72">
        <v>0</v>
      </c>
      <c r="G15" s="73" t="s">
        <v>27</v>
      </c>
      <c r="H15" s="73" t="s">
        <v>27</v>
      </c>
      <c r="I15" s="72">
        <f>F15</f>
        <v>0</v>
      </c>
    </row>
    <row r="16" spans="1:9" x14ac:dyDescent="0.25">
      <c r="A16" s="173" t="s">
        <v>241</v>
      </c>
      <c r="B16" s="174"/>
      <c r="C16" s="174"/>
      <c r="D16" s="174"/>
      <c r="E16" s="175"/>
      <c r="F16" s="72">
        <v>0</v>
      </c>
      <c r="G16" s="73" t="s">
        <v>27</v>
      </c>
      <c r="H16" s="73" t="s">
        <v>27</v>
      </c>
      <c r="I16" s="72">
        <f>F16</f>
        <v>0</v>
      </c>
    </row>
    <row r="17" spans="1:9" x14ac:dyDescent="0.25">
      <c r="A17" s="176" t="s">
        <v>244</v>
      </c>
      <c r="B17" s="177"/>
      <c r="C17" s="177"/>
      <c r="D17" s="177"/>
      <c r="E17" s="178"/>
      <c r="F17" s="74">
        <v>0</v>
      </c>
      <c r="G17" s="75" t="s">
        <v>27</v>
      </c>
      <c r="H17" s="75" t="s">
        <v>27</v>
      </c>
      <c r="I17" s="74">
        <f>F17</f>
        <v>0</v>
      </c>
    </row>
    <row r="18" spans="1:9" x14ac:dyDescent="0.25">
      <c r="A18" s="179" t="s">
        <v>275</v>
      </c>
      <c r="B18" s="180"/>
      <c r="C18" s="180"/>
      <c r="D18" s="180"/>
      <c r="E18" s="181"/>
      <c r="F18" s="76" t="s">
        <v>27</v>
      </c>
      <c r="G18" s="77" t="s">
        <v>27</v>
      </c>
      <c r="H18" s="77" t="s">
        <v>27</v>
      </c>
      <c r="I18" s="78">
        <f>SUM(I15:I17)</f>
        <v>0</v>
      </c>
    </row>
    <row r="20" spans="1:9" x14ac:dyDescent="0.25">
      <c r="A20" s="170" t="s">
        <v>236</v>
      </c>
      <c r="B20" s="171"/>
      <c r="C20" s="171"/>
      <c r="D20" s="171"/>
      <c r="E20" s="172"/>
      <c r="F20" s="71" t="s">
        <v>272</v>
      </c>
      <c r="G20" s="71" t="s">
        <v>273</v>
      </c>
      <c r="H20" s="71" t="s">
        <v>274</v>
      </c>
      <c r="I20" s="71" t="s">
        <v>272</v>
      </c>
    </row>
    <row r="21" spans="1:9" x14ac:dyDescent="0.25">
      <c r="A21" s="173" t="s">
        <v>240</v>
      </c>
      <c r="B21" s="174"/>
      <c r="C21" s="174"/>
      <c r="D21" s="174"/>
      <c r="E21" s="175"/>
      <c r="F21" s="72">
        <v>0</v>
      </c>
      <c r="G21" s="73" t="s">
        <v>27</v>
      </c>
      <c r="H21" s="73" t="s">
        <v>27</v>
      </c>
      <c r="I21" s="72">
        <f t="shared" ref="I21:I26" si="0">F21</f>
        <v>0</v>
      </c>
    </row>
    <row r="22" spans="1:9" x14ac:dyDescent="0.25">
      <c r="A22" s="173" t="s">
        <v>242</v>
      </c>
      <c r="B22" s="174"/>
      <c r="C22" s="174"/>
      <c r="D22" s="174"/>
      <c r="E22" s="175"/>
      <c r="F22" s="72">
        <v>0</v>
      </c>
      <c r="G22" s="73" t="s">
        <v>27</v>
      </c>
      <c r="H22" s="73" t="s">
        <v>27</v>
      </c>
      <c r="I22" s="72">
        <f t="shared" si="0"/>
        <v>0</v>
      </c>
    </row>
    <row r="23" spans="1:9" x14ac:dyDescent="0.25">
      <c r="A23" s="173" t="s">
        <v>245</v>
      </c>
      <c r="B23" s="174"/>
      <c r="C23" s="174"/>
      <c r="D23" s="174"/>
      <c r="E23" s="175"/>
      <c r="F23" s="72">
        <v>0</v>
      </c>
      <c r="G23" s="73" t="s">
        <v>27</v>
      </c>
      <c r="H23" s="73" t="s">
        <v>27</v>
      </c>
      <c r="I23" s="72">
        <f t="shared" si="0"/>
        <v>0</v>
      </c>
    </row>
    <row r="24" spans="1:9" x14ac:dyDescent="0.25">
      <c r="A24" s="173" t="s">
        <v>246</v>
      </c>
      <c r="B24" s="174"/>
      <c r="C24" s="174"/>
      <c r="D24" s="174"/>
      <c r="E24" s="175"/>
      <c r="F24" s="72">
        <v>0</v>
      </c>
      <c r="G24" s="73" t="s">
        <v>27</v>
      </c>
      <c r="H24" s="73" t="s">
        <v>27</v>
      </c>
      <c r="I24" s="72">
        <f t="shared" si="0"/>
        <v>0</v>
      </c>
    </row>
    <row r="25" spans="1:9" x14ac:dyDescent="0.25">
      <c r="A25" s="173" t="s">
        <v>248</v>
      </c>
      <c r="B25" s="174"/>
      <c r="C25" s="174"/>
      <c r="D25" s="174"/>
      <c r="E25" s="175"/>
      <c r="F25" s="72">
        <v>0</v>
      </c>
      <c r="G25" s="73" t="s">
        <v>27</v>
      </c>
      <c r="H25" s="73" t="s">
        <v>27</v>
      </c>
      <c r="I25" s="72">
        <f t="shared" si="0"/>
        <v>0</v>
      </c>
    </row>
    <row r="26" spans="1:9" x14ac:dyDescent="0.25">
      <c r="A26" s="176" t="s">
        <v>249</v>
      </c>
      <c r="B26" s="177"/>
      <c r="C26" s="177"/>
      <c r="D26" s="177"/>
      <c r="E26" s="178"/>
      <c r="F26" s="74">
        <v>0</v>
      </c>
      <c r="G26" s="75" t="s">
        <v>27</v>
      </c>
      <c r="H26" s="75" t="s">
        <v>27</v>
      </c>
      <c r="I26" s="74">
        <f t="shared" si="0"/>
        <v>0</v>
      </c>
    </row>
    <row r="27" spans="1:9" x14ac:dyDescent="0.25">
      <c r="A27" s="179" t="s">
        <v>276</v>
      </c>
      <c r="B27" s="180"/>
      <c r="C27" s="180"/>
      <c r="D27" s="180"/>
      <c r="E27" s="181"/>
      <c r="F27" s="76" t="s">
        <v>27</v>
      </c>
      <c r="G27" s="77" t="s">
        <v>27</v>
      </c>
      <c r="H27" s="77" t="s">
        <v>27</v>
      </c>
      <c r="I27" s="78">
        <f>SUM(I21:I26)</f>
        <v>0</v>
      </c>
    </row>
    <row r="29" spans="1:9" ht="15.75" x14ac:dyDescent="0.25">
      <c r="A29" s="182" t="s">
        <v>277</v>
      </c>
      <c r="B29" s="183"/>
      <c r="C29" s="183"/>
      <c r="D29" s="183"/>
      <c r="E29" s="184"/>
      <c r="F29" s="185">
        <f>I18+I27</f>
        <v>0</v>
      </c>
      <c r="G29" s="186"/>
      <c r="H29" s="186"/>
      <c r="I29" s="187"/>
    </row>
    <row r="33" spans="1:9" ht="15.75" x14ac:dyDescent="0.25">
      <c r="A33" s="169" t="s">
        <v>278</v>
      </c>
      <c r="B33" s="169"/>
      <c r="C33" s="169"/>
      <c r="D33" s="169"/>
      <c r="E33" s="169"/>
    </row>
    <row r="34" spans="1:9" x14ac:dyDescent="0.25">
      <c r="A34" s="170" t="s">
        <v>279</v>
      </c>
      <c r="B34" s="171"/>
      <c r="C34" s="171"/>
      <c r="D34" s="171"/>
      <c r="E34" s="172"/>
      <c r="F34" s="71" t="s">
        <v>272</v>
      </c>
      <c r="G34" s="71" t="s">
        <v>273</v>
      </c>
      <c r="H34" s="71" t="s">
        <v>274</v>
      </c>
      <c r="I34" s="71" t="s">
        <v>272</v>
      </c>
    </row>
    <row r="35" spans="1:9" x14ac:dyDescent="0.25">
      <c r="A35" s="176" t="s">
        <v>27</v>
      </c>
      <c r="B35" s="177"/>
      <c r="C35" s="177"/>
      <c r="D35" s="177"/>
      <c r="E35" s="178"/>
      <c r="F35" s="74">
        <v>0</v>
      </c>
      <c r="G35" s="75" t="s">
        <v>27</v>
      </c>
      <c r="H35" s="75" t="s">
        <v>27</v>
      </c>
      <c r="I35" s="74">
        <f>F35</f>
        <v>0</v>
      </c>
    </row>
    <row r="36" spans="1:9" x14ac:dyDescent="0.25">
      <c r="A36" s="179" t="s">
        <v>280</v>
      </c>
      <c r="B36" s="180"/>
      <c r="C36" s="180"/>
      <c r="D36" s="180"/>
      <c r="E36" s="181"/>
      <c r="F36" s="76" t="s">
        <v>27</v>
      </c>
      <c r="G36" s="77" t="s">
        <v>27</v>
      </c>
      <c r="H36" s="77" t="s">
        <v>27</v>
      </c>
      <c r="I36" s="78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Z112"/>
  <sheetViews>
    <sheetView workbookViewId="0">
      <pane ySplit="11" topLeftCell="A12" activePane="bottomLeft" state="frozen"/>
      <selection pane="bottomLeft" activeCell="A112" sqref="A112:P112"/>
    </sheetView>
  </sheetViews>
  <sheetFormatPr defaultColWidth="12.140625" defaultRowHeight="15" customHeight="1" x14ac:dyDescent="0.25"/>
  <cols>
    <col min="1" max="1" width="4" customWidth="1"/>
    <col min="2" max="2" width="7.5703125" customWidth="1"/>
    <col min="3" max="3" width="17.85546875" customWidth="1"/>
    <col min="4" max="4" width="42.85546875" customWidth="1"/>
    <col min="5" max="5" width="35.7109375" customWidth="1"/>
    <col min="6" max="6" width="4.42578125" customWidth="1"/>
    <col min="7" max="7" width="12.85546875" customWidth="1"/>
    <col min="8" max="8" width="12" customWidth="1"/>
    <col min="9" max="9" width="11.140625" customWidth="1"/>
    <col min="10" max="13" width="15.7109375" customWidth="1"/>
    <col min="14" max="15" width="11.7109375" customWidth="1"/>
    <col min="16" max="16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86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AS1" s="15">
        <f>SUM(AJ1:AJ2)</f>
        <v>0</v>
      </c>
      <c r="AT1" s="15">
        <f>SUM(AK1:AK2)</f>
        <v>0</v>
      </c>
      <c r="AU1" s="15">
        <f>SUM(AL1:AL2)</f>
        <v>0</v>
      </c>
    </row>
    <row r="2" spans="1:76" x14ac:dyDescent="0.25">
      <c r="A2" s="164" t="s">
        <v>1</v>
      </c>
      <c r="B2" s="88"/>
      <c r="C2" s="88"/>
      <c r="D2" s="166" t="s">
        <v>281</v>
      </c>
      <c r="E2" s="167"/>
      <c r="F2" s="88" t="s">
        <v>2</v>
      </c>
      <c r="G2" s="88"/>
      <c r="H2" s="88" t="s">
        <v>25</v>
      </c>
      <c r="I2" s="97" t="s">
        <v>3</v>
      </c>
      <c r="J2" s="88" t="s">
        <v>282</v>
      </c>
      <c r="K2" s="88"/>
      <c r="L2" s="88"/>
      <c r="M2" s="88"/>
      <c r="N2" s="88"/>
      <c r="O2" s="88"/>
      <c r="P2" s="105"/>
    </row>
    <row r="3" spans="1:76" x14ac:dyDescent="0.25">
      <c r="A3" s="89"/>
      <c r="B3" s="90"/>
      <c r="C3" s="90"/>
      <c r="D3" s="168"/>
      <c r="E3" s="168"/>
      <c r="F3" s="90"/>
      <c r="G3" s="90"/>
      <c r="H3" s="90"/>
      <c r="I3" s="90"/>
      <c r="J3" s="90"/>
      <c r="K3" s="90"/>
      <c r="L3" s="90"/>
      <c r="M3" s="90"/>
      <c r="N3" s="90"/>
      <c r="O3" s="90"/>
      <c r="P3" s="106"/>
    </row>
    <row r="4" spans="1:76" x14ac:dyDescent="0.25">
      <c r="A4" s="165" t="s">
        <v>4</v>
      </c>
      <c r="B4" s="90"/>
      <c r="C4" s="90"/>
      <c r="D4" s="96" t="s">
        <v>25</v>
      </c>
      <c r="E4" s="90"/>
      <c r="F4" s="90" t="s">
        <v>5</v>
      </c>
      <c r="G4" s="90"/>
      <c r="H4" s="90" t="s">
        <v>283</v>
      </c>
      <c r="I4" s="96" t="s">
        <v>6</v>
      </c>
      <c r="J4" s="90" t="s">
        <v>282</v>
      </c>
      <c r="K4" s="90"/>
      <c r="L4" s="90"/>
      <c r="M4" s="90"/>
      <c r="N4" s="90"/>
      <c r="O4" s="90"/>
      <c r="P4" s="106"/>
    </row>
    <row r="5" spans="1:76" x14ac:dyDescent="0.25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106"/>
    </row>
    <row r="6" spans="1:76" x14ac:dyDescent="0.25">
      <c r="A6" s="165" t="s">
        <v>7</v>
      </c>
      <c r="B6" s="90"/>
      <c r="C6" s="90"/>
      <c r="D6" s="96" t="s">
        <v>284</v>
      </c>
      <c r="E6" s="90"/>
      <c r="F6" s="90" t="s">
        <v>8</v>
      </c>
      <c r="G6" s="90"/>
      <c r="H6" s="90" t="s">
        <v>25</v>
      </c>
      <c r="I6" s="96" t="s">
        <v>9</v>
      </c>
      <c r="J6" s="90" t="s">
        <v>282</v>
      </c>
      <c r="K6" s="90"/>
      <c r="L6" s="90"/>
      <c r="M6" s="90"/>
      <c r="N6" s="90"/>
      <c r="O6" s="90"/>
      <c r="P6" s="106"/>
    </row>
    <row r="7" spans="1:76" x14ac:dyDescent="0.25">
      <c r="A7" s="89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106"/>
    </row>
    <row r="8" spans="1:76" x14ac:dyDescent="0.25">
      <c r="A8" s="165" t="s">
        <v>10</v>
      </c>
      <c r="B8" s="90"/>
      <c r="C8" s="90"/>
      <c r="D8" s="96" t="s">
        <v>25</v>
      </c>
      <c r="E8" s="90"/>
      <c r="F8" s="90" t="s">
        <v>11</v>
      </c>
      <c r="G8" s="90"/>
      <c r="H8" s="90" t="s">
        <v>283</v>
      </c>
      <c r="I8" s="96" t="s">
        <v>12</v>
      </c>
      <c r="J8" s="96" t="s">
        <v>285</v>
      </c>
      <c r="K8" s="90"/>
      <c r="L8" s="90"/>
      <c r="M8" s="90"/>
      <c r="N8" s="90"/>
      <c r="O8" s="90"/>
      <c r="P8" s="106"/>
    </row>
    <row r="9" spans="1:76" x14ac:dyDescent="0.25">
      <c r="A9" s="188"/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90"/>
    </row>
    <row r="10" spans="1:76" x14ac:dyDescent="0.25">
      <c r="A10" s="25" t="s">
        <v>13</v>
      </c>
      <c r="B10" s="26" t="s">
        <v>14</v>
      </c>
      <c r="C10" s="26" t="s">
        <v>15</v>
      </c>
      <c r="D10" s="191" t="s">
        <v>16</v>
      </c>
      <c r="E10" s="192"/>
      <c r="F10" s="26" t="s">
        <v>17</v>
      </c>
      <c r="G10" s="27" t="s">
        <v>19</v>
      </c>
      <c r="H10" s="28" t="s">
        <v>154</v>
      </c>
      <c r="I10" s="29" t="s">
        <v>18</v>
      </c>
      <c r="J10" s="198" t="s">
        <v>155</v>
      </c>
      <c r="K10" s="199"/>
      <c r="L10" s="200"/>
      <c r="M10" s="30" t="s">
        <v>155</v>
      </c>
      <c r="N10" s="201" t="s">
        <v>156</v>
      </c>
      <c r="O10" s="202"/>
      <c r="P10" s="31" t="s">
        <v>157</v>
      </c>
      <c r="BK10" s="14" t="s">
        <v>24</v>
      </c>
      <c r="BL10" s="32" t="s">
        <v>23</v>
      </c>
      <c r="BW10" s="32" t="s">
        <v>158</v>
      </c>
    </row>
    <row r="11" spans="1:76" x14ac:dyDescent="0.25">
      <c r="A11" s="33" t="s">
        <v>25</v>
      </c>
      <c r="B11" s="34" t="s">
        <v>25</v>
      </c>
      <c r="C11" s="34" t="s">
        <v>25</v>
      </c>
      <c r="D11" s="196" t="s">
        <v>159</v>
      </c>
      <c r="E11" s="197"/>
      <c r="F11" s="34" t="s">
        <v>25</v>
      </c>
      <c r="G11" s="34" t="s">
        <v>25</v>
      </c>
      <c r="H11" s="35" t="s">
        <v>160</v>
      </c>
      <c r="I11" s="36" t="s">
        <v>25</v>
      </c>
      <c r="J11" s="37" t="s">
        <v>161</v>
      </c>
      <c r="K11" s="38" t="s">
        <v>162</v>
      </c>
      <c r="L11" s="39" t="s">
        <v>163</v>
      </c>
      <c r="M11" s="40" t="s">
        <v>164</v>
      </c>
      <c r="N11" s="41" t="s">
        <v>165</v>
      </c>
      <c r="O11" s="42" t="s">
        <v>163</v>
      </c>
      <c r="P11" s="43" t="s">
        <v>166</v>
      </c>
      <c r="Z11" s="14" t="s">
        <v>167</v>
      </c>
      <c r="AA11" s="14" t="s">
        <v>168</v>
      </c>
      <c r="AB11" s="14" t="s">
        <v>169</v>
      </c>
      <c r="AC11" s="14" t="s">
        <v>170</v>
      </c>
      <c r="AD11" s="14" t="s">
        <v>171</v>
      </c>
      <c r="AE11" s="14" t="s">
        <v>172</v>
      </c>
      <c r="AF11" s="14" t="s">
        <v>173</v>
      </c>
      <c r="AG11" s="14" t="s">
        <v>174</v>
      </c>
      <c r="AH11" s="14" t="s">
        <v>175</v>
      </c>
      <c r="BH11" s="14" t="s">
        <v>176</v>
      </c>
      <c r="BI11" s="14" t="s">
        <v>177</v>
      </c>
      <c r="BJ11" s="14" t="s">
        <v>178</v>
      </c>
    </row>
    <row r="12" spans="1:76" x14ac:dyDescent="0.25">
      <c r="A12" s="44" t="s">
        <v>27</v>
      </c>
      <c r="B12" s="8" t="s">
        <v>26</v>
      </c>
      <c r="C12" s="8" t="s">
        <v>27</v>
      </c>
      <c r="D12" s="108" t="s">
        <v>28</v>
      </c>
      <c r="E12" s="109"/>
      <c r="F12" s="45" t="s">
        <v>25</v>
      </c>
      <c r="G12" s="45" t="s">
        <v>25</v>
      </c>
      <c r="H12" s="45" t="s">
        <v>25</v>
      </c>
      <c r="I12" s="45" t="s">
        <v>25</v>
      </c>
      <c r="J12" s="10">
        <f>J13+J16+J50+J54+J59+J63+J67+J72</f>
        <v>0</v>
      </c>
      <c r="K12" s="10">
        <f>K13+K16+K50+K54+K59+K63+K67+K72</f>
        <v>0</v>
      </c>
      <c r="L12" s="10">
        <f>L13+L16+L50+L54+L59+L63+L67+L72</f>
        <v>0</v>
      </c>
      <c r="M12" s="10">
        <f>M13+M16+M50+M54+M59+M63+M67+M72</f>
        <v>0</v>
      </c>
      <c r="N12" s="9" t="s">
        <v>27</v>
      </c>
      <c r="O12" s="10">
        <f>O13+O16+O50+O54+O59+O63+O67+O72</f>
        <v>39.912280000000003</v>
      </c>
      <c r="P12" s="46" t="s">
        <v>27</v>
      </c>
    </row>
    <row r="13" spans="1:76" x14ac:dyDescent="0.25">
      <c r="A13" s="47" t="s">
        <v>27</v>
      </c>
      <c r="B13" s="13" t="s">
        <v>26</v>
      </c>
      <c r="C13" s="13" t="s">
        <v>29</v>
      </c>
      <c r="D13" s="98" t="s">
        <v>30</v>
      </c>
      <c r="E13" s="99"/>
      <c r="F13" s="48" t="s">
        <v>25</v>
      </c>
      <c r="G13" s="48" t="s">
        <v>25</v>
      </c>
      <c r="H13" s="48" t="s">
        <v>25</v>
      </c>
      <c r="I13" s="48" t="s">
        <v>25</v>
      </c>
      <c r="J13" s="15">
        <f>SUM(J14:J14)</f>
        <v>0</v>
      </c>
      <c r="K13" s="15">
        <f>SUM(K14:K14)</f>
        <v>0</v>
      </c>
      <c r="L13" s="15">
        <f>SUM(L14:L14)</f>
        <v>0</v>
      </c>
      <c r="M13" s="15">
        <f>SUM(M14:M14)</f>
        <v>0</v>
      </c>
      <c r="N13" s="14" t="s">
        <v>27</v>
      </c>
      <c r="O13" s="15">
        <f>SUM(O14:O14)</f>
        <v>0</v>
      </c>
      <c r="P13" s="49" t="s">
        <v>27</v>
      </c>
      <c r="AI13" s="14" t="s">
        <v>26</v>
      </c>
      <c r="AS13" s="15">
        <f>SUM(AJ14:AJ14)</f>
        <v>0</v>
      </c>
      <c r="AT13" s="15">
        <f>SUM(AK14:AK14)</f>
        <v>0</v>
      </c>
      <c r="AU13" s="15">
        <f>SUM(AL14:AL14)</f>
        <v>0</v>
      </c>
    </row>
    <row r="14" spans="1:76" x14ac:dyDescent="0.25">
      <c r="A14" s="1" t="s">
        <v>88</v>
      </c>
      <c r="B14" s="2" t="s">
        <v>26</v>
      </c>
      <c r="C14" s="2" t="s">
        <v>31</v>
      </c>
      <c r="D14" s="96" t="s">
        <v>32</v>
      </c>
      <c r="E14" s="90"/>
      <c r="F14" s="2" t="s">
        <v>33</v>
      </c>
      <c r="G14" s="19">
        <f>'Rozpočet - vybrané sloupce'!H13</f>
        <v>72.599999999999994</v>
      </c>
      <c r="H14" s="19">
        <f>'Rozpočet - vybrané sloupce'!I13</f>
        <v>0</v>
      </c>
      <c r="I14" s="18">
        <v>21</v>
      </c>
      <c r="J14" s="19">
        <f>ROUND(G14*AO14,2)</f>
        <v>0</v>
      </c>
      <c r="K14" s="19">
        <f>ROUND(G14*AP14,2)</f>
        <v>0</v>
      </c>
      <c r="L14" s="19">
        <f>ROUND(G14*H14,2)</f>
        <v>0</v>
      </c>
      <c r="M14" s="19">
        <f>L14*(1+BW14/100)</f>
        <v>0</v>
      </c>
      <c r="N14" s="19">
        <v>0</v>
      </c>
      <c r="O14" s="19">
        <f>G14*N14</f>
        <v>0</v>
      </c>
      <c r="P14" s="50" t="s">
        <v>34</v>
      </c>
      <c r="Z14" s="19">
        <f>ROUND(IF(AQ14="5",BJ14,0),2)</f>
        <v>0</v>
      </c>
      <c r="AB14" s="19">
        <f>ROUND(IF(AQ14="1",BH14,0),2)</f>
        <v>0</v>
      </c>
      <c r="AC14" s="19">
        <f>ROUND(IF(AQ14="1",BI14,0),2)</f>
        <v>0</v>
      </c>
      <c r="AD14" s="19">
        <f>ROUND(IF(AQ14="7",BH14,0),2)</f>
        <v>0</v>
      </c>
      <c r="AE14" s="19">
        <f>ROUND(IF(AQ14="7",BI14,0),2)</f>
        <v>0</v>
      </c>
      <c r="AF14" s="19">
        <f>ROUND(IF(AQ14="2",BH14,0),2)</f>
        <v>0</v>
      </c>
      <c r="AG14" s="19">
        <f>ROUND(IF(AQ14="2",BI14,0),2)</f>
        <v>0</v>
      </c>
      <c r="AH14" s="19">
        <f>ROUND(IF(AQ14="0",BJ14,0),2)</f>
        <v>0</v>
      </c>
      <c r="AI14" s="14" t="s">
        <v>26</v>
      </c>
      <c r="AJ14" s="19">
        <f>IF(AN14=0,L14,0)</f>
        <v>0</v>
      </c>
      <c r="AK14" s="19">
        <f>IF(AN14=12,L14,0)</f>
        <v>0</v>
      </c>
      <c r="AL14" s="19">
        <f>IF(AN14=21,L14,0)</f>
        <v>0</v>
      </c>
      <c r="AN14" s="19">
        <v>21</v>
      </c>
      <c r="AO14" s="19">
        <f>H14*0</f>
        <v>0</v>
      </c>
      <c r="AP14" s="19">
        <f>H14*(1-0)</f>
        <v>0</v>
      </c>
      <c r="AQ14" s="51" t="s">
        <v>88</v>
      </c>
      <c r="AV14" s="19">
        <f>ROUND(AW14+AX14,2)</f>
        <v>0</v>
      </c>
      <c r="AW14" s="19">
        <f>ROUND(G14*AO14,2)</f>
        <v>0</v>
      </c>
      <c r="AX14" s="19">
        <f>ROUND(G14*AP14,2)</f>
        <v>0</v>
      </c>
      <c r="AY14" s="51" t="s">
        <v>179</v>
      </c>
      <c r="AZ14" s="51" t="s">
        <v>180</v>
      </c>
      <c r="BA14" s="14" t="s">
        <v>181</v>
      </c>
      <c r="BC14" s="19">
        <f>AW14+AX14</f>
        <v>0</v>
      </c>
      <c r="BD14" s="19">
        <f>H14/(100-BE14)*100</f>
        <v>0</v>
      </c>
      <c r="BE14" s="19">
        <v>0</v>
      </c>
      <c r="BF14" s="19">
        <f>O14</f>
        <v>0</v>
      </c>
      <c r="BH14" s="19">
        <f>G14*AO14</f>
        <v>0</v>
      </c>
      <c r="BI14" s="19">
        <f>G14*AP14</f>
        <v>0</v>
      </c>
      <c r="BJ14" s="19">
        <f>G14*H14</f>
        <v>0</v>
      </c>
      <c r="BK14" s="51" t="s">
        <v>35</v>
      </c>
      <c r="BL14" s="19">
        <v>12</v>
      </c>
      <c r="BW14" s="19">
        <f>I14</f>
        <v>21</v>
      </c>
      <c r="BX14" s="5" t="s">
        <v>32</v>
      </c>
    </row>
    <row r="15" spans="1:76" ht="54" customHeight="1" x14ac:dyDescent="0.25">
      <c r="A15" s="52"/>
      <c r="C15" s="21" t="s">
        <v>182</v>
      </c>
      <c r="D15" s="193" t="s">
        <v>183</v>
      </c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5"/>
    </row>
    <row r="16" spans="1:76" x14ac:dyDescent="0.25">
      <c r="A16" s="47" t="s">
        <v>27</v>
      </c>
      <c r="B16" s="13" t="s">
        <v>26</v>
      </c>
      <c r="C16" s="13" t="s">
        <v>36</v>
      </c>
      <c r="D16" s="98" t="s">
        <v>28</v>
      </c>
      <c r="E16" s="99"/>
      <c r="F16" s="48" t="s">
        <v>25</v>
      </c>
      <c r="G16" s="48" t="s">
        <v>25</v>
      </c>
      <c r="H16" s="48" t="s">
        <v>25</v>
      </c>
      <c r="I16" s="48" t="s">
        <v>25</v>
      </c>
      <c r="J16" s="15">
        <f>SUM(J17:J47)</f>
        <v>0</v>
      </c>
      <c r="K16" s="15">
        <f>SUM(K17:K47)</f>
        <v>0</v>
      </c>
      <c r="L16" s="15">
        <f>SUM(L17:L47)</f>
        <v>0</v>
      </c>
      <c r="M16" s="15">
        <f>SUM(M17:M47)</f>
        <v>0</v>
      </c>
      <c r="N16" s="14" t="s">
        <v>27</v>
      </c>
      <c r="O16" s="15">
        <f>SUM(O17:O47)</f>
        <v>3.3300000000000001E-3</v>
      </c>
      <c r="P16" s="49" t="s">
        <v>27</v>
      </c>
      <c r="AI16" s="14" t="s">
        <v>26</v>
      </c>
      <c r="AS16" s="15">
        <f>SUM(AJ17:AJ47)</f>
        <v>0</v>
      </c>
      <c r="AT16" s="15">
        <f>SUM(AK17:AK47)</f>
        <v>0</v>
      </c>
      <c r="AU16" s="15">
        <f>SUM(AL17:AL47)</f>
        <v>0</v>
      </c>
    </row>
    <row r="17" spans="1:76" x14ac:dyDescent="0.25">
      <c r="A17" s="1" t="s">
        <v>184</v>
      </c>
      <c r="B17" s="2" t="s">
        <v>26</v>
      </c>
      <c r="C17" s="2" t="s">
        <v>37</v>
      </c>
      <c r="D17" s="96" t="s">
        <v>38</v>
      </c>
      <c r="E17" s="90"/>
      <c r="F17" s="2" t="s">
        <v>39</v>
      </c>
      <c r="G17" s="19">
        <f>'Rozpočet - vybrané sloupce'!H15</f>
        <v>31</v>
      </c>
      <c r="H17" s="19">
        <f>'Rozpočet - vybrané sloupce'!I15</f>
        <v>0</v>
      </c>
      <c r="I17" s="18">
        <v>21</v>
      </c>
      <c r="J17" s="19">
        <f>ROUND(G17*AO17,2)</f>
        <v>0</v>
      </c>
      <c r="K17" s="19">
        <f>ROUND(G17*AP17,2)</f>
        <v>0</v>
      </c>
      <c r="L17" s="19">
        <f>ROUND(G17*H17,2)</f>
        <v>0</v>
      </c>
      <c r="M17" s="19">
        <f>L17*(1+BW17/100)</f>
        <v>0</v>
      </c>
      <c r="N17" s="19">
        <v>3.0000000000000001E-5</v>
      </c>
      <c r="O17" s="19">
        <f>G17*N17</f>
        <v>9.3000000000000005E-4</v>
      </c>
      <c r="P17" s="50" t="s">
        <v>34</v>
      </c>
      <c r="Z17" s="19">
        <f>ROUND(IF(AQ17="5",BJ17,0),2)</f>
        <v>0</v>
      </c>
      <c r="AB17" s="19">
        <f>ROUND(IF(AQ17="1",BH17,0),2)</f>
        <v>0</v>
      </c>
      <c r="AC17" s="19">
        <f>ROUND(IF(AQ17="1",BI17,0),2)</f>
        <v>0</v>
      </c>
      <c r="AD17" s="19">
        <f>ROUND(IF(AQ17="7",BH17,0),2)</f>
        <v>0</v>
      </c>
      <c r="AE17" s="19">
        <f>ROUND(IF(AQ17="7",BI17,0),2)</f>
        <v>0</v>
      </c>
      <c r="AF17" s="19">
        <f>ROUND(IF(AQ17="2",BH17,0),2)</f>
        <v>0</v>
      </c>
      <c r="AG17" s="19">
        <f>ROUND(IF(AQ17="2",BI17,0),2)</f>
        <v>0</v>
      </c>
      <c r="AH17" s="19">
        <f>ROUND(IF(AQ17="0",BJ17,0),2)</f>
        <v>0</v>
      </c>
      <c r="AI17" s="14" t="s">
        <v>26</v>
      </c>
      <c r="AJ17" s="19">
        <f>IF(AN17=0,L17,0)</f>
        <v>0</v>
      </c>
      <c r="AK17" s="19">
        <f>IF(AN17=12,L17,0)</f>
        <v>0</v>
      </c>
      <c r="AL17" s="19">
        <f>IF(AN17=21,L17,0)</f>
        <v>0</v>
      </c>
      <c r="AN17" s="19">
        <v>21</v>
      </c>
      <c r="AO17" s="19">
        <f>H17*0.024400214</f>
        <v>0</v>
      </c>
      <c r="AP17" s="19">
        <f>H17*(1-0.024400214)</f>
        <v>0</v>
      </c>
      <c r="AQ17" s="51" t="s">
        <v>88</v>
      </c>
      <c r="AV17" s="19">
        <f>ROUND(AW17+AX17,2)</f>
        <v>0</v>
      </c>
      <c r="AW17" s="19">
        <f>ROUND(G17*AO17,2)</f>
        <v>0</v>
      </c>
      <c r="AX17" s="19">
        <f>ROUND(G17*AP17,2)</f>
        <v>0</v>
      </c>
      <c r="AY17" s="51" t="s">
        <v>185</v>
      </c>
      <c r="AZ17" s="51" t="s">
        <v>180</v>
      </c>
      <c r="BA17" s="14" t="s">
        <v>181</v>
      </c>
      <c r="BC17" s="19">
        <f>AW17+AX17</f>
        <v>0</v>
      </c>
      <c r="BD17" s="19">
        <f>H17/(100-BE17)*100</f>
        <v>0</v>
      </c>
      <c r="BE17" s="19">
        <v>0</v>
      </c>
      <c r="BF17" s="19">
        <f>O17</f>
        <v>9.3000000000000005E-4</v>
      </c>
      <c r="BH17" s="19">
        <f>G17*AO17</f>
        <v>0</v>
      </c>
      <c r="BI17" s="19">
        <f>G17*AP17</f>
        <v>0</v>
      </c>
      <c r="BJ17" s="19">
        <f>G17*H17</f>
        <v>0</v>
      </c>
      <c r="BK17" s="51" t="s">
        <v>35</v>
      </c>
      <c r="BL17" s="19">
        <v>18</v>
      </c>
      <c r="BW17" s="19">
        <f>I17</f>
        <v>21</v>
      </c>
      <c r="BX17" s="5" t="s">
        <v>38</v>
      </c>
    </row>
    <row r="18" spans="1:76" ht="13.5" customHeight="1" x14ac:dyDescent="0.25">
      <c r="A18" s="52"/>
      <c r="C18" s="21" t="s">
        <v>182</v>
      </c>
      <c r="D18" s="193" t="s">
        <v>41</v>
      </c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5"/>
    </row>
    <row r="19" spans="1:76" ht="13.5" customHeight="1" x14ac:dyDescent="0.25">
      <c r="A19" s="52"/>
      <c r="C19" s="21" t="s">
        <v>40</v>
      </c>
      <c r="D19" s="193" t="s">
        <v>41</v>
      </c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5"/>
    </row>
    <row r="20" spans="1:76" x14ac:dyDescent="0.25">
      <c r="A20" s="1" t="s">
        <v>63</v>
      </c>
      <c r="B20" s="2" t="s">
        <v>26</v>
      </c>
      <c r="C20" s="2" t="s">
        <v>42</v>
      </c>
      <c r="D20" s="96" t="s">
        <v>43</v>
      </c>
      <c r="E20" s="90"/>
      <c r="F20" s="2" t="s">
        <v>44</v>
      </c>
      <c r="G20" s="19">
        <f>'Rozpočet - vybrané sloupce'!H17</f>
        <v>3</v>
      </c>
      <c r="H20" s="19">
        <f>'Rozpočet - vybrané sloupce'!I17</f>
        <v>0</v>
      </c>
      <c r="I20" s="18">
        <v>21</v>
      </c>
      <c r="J20" s="19">
        <f>ROUND(G20*AO20,2)</f>
        <v>0</v>
      </c>
      <c r="K20" s="19">
        <f>ROUND(G20*AP20,2)</f>
        <v>0</v>
      </c>
      <c r="L20" s="19">
        <f>ROUND(G20*H20,2)</f>
        <v>0</v>
      </c>
      <c r="M20" s="19">
        <f>L20*(1+BW20/100)</f>
        <v>0</v>
      </c>
      <c r="N20" s="19">
        <v>0</v>
      </c>
      <c r="O20" s="19">
        <f>G20*N20</f>
        <v>0</v>
      </c>
      <c r="P20" s="50" t="s">
        <v>34</v>
      </c>
      <c r="Z20" s="19">
        <f>ROUND(IF(AQ20="5",BJ20,0),2)</f>
        <v>0</v>
      </c>
      <c r="AB20" s="19">
        <f>ROUND(IF(AQ20="1",BH20,0),2)</f>
        <v>0</v>
      </c>
      <c r="AC20" s="19">
        <f>ROUND(IF(AQ20="1",BI20,0),2)</f>
        <v>0</v>
      </c>
      <c r="AD20" s="19">
        <f>ROUND(IF(AQ20="7",BH20,0),2)</f>
        <v>0</v>
      </c>
      <c r="AE20" s="19">
        <f>ROUND(IF(AQ20="7",BI20,0),2)</f>
        <v>0</v>
      </c>
      <c r="AF20" s="19">
        <f>ROUND(IF(AQ20="2",BH20,0),2)</f>
        <v>0</v>
      </c>
      <c r="AG20" s="19">
        <f>ROUND(IF(AQ20="2",BI20,0),2)</f>
        <v>0</v>
      </c>
      <c r="AH20" s="19">
        <f>ROUND(IF(AQ20="0",BJ20,0),2)</f>
        <v>0</v>
      </c>
      <c r="AI20" s="14" t="s">
        <v>26</v>
      </c>
      <c r="AJ20" s="19">
        <f>IF(AN20=0,L20,0)</f>
        <v>0</v>
      </c>
      <c r="AK20" s="19">
        <f>IF(AN20=12,L20,0)</f>
        <v>0</v>
      </c>
      <c r="AL20" s="19">
        <f>IF(AN20=21,L20,0)</f>
        <v>0</v>
      </c>
      <c r="AN20" s="19">
        <v>21</v>
      </c>
      <c r="AO20" s="19">
        <f>H20*0</f>
        <v>0</v>
      </c>
      <c r="AP20" s="19">
        <f>H20*(1-0)</f>
        <v>0</v>
      </c>
      <c r="AQ20" s="51" t="s">
        <v>88</v>
      </c>
      <c r="AV20" s="19">
        <f>ROUND(AW20+AX20,2)</f>
        <v>0</v>
      </c>
      <c r="AW20" s="19">
        <f>ROUND(G20*AO20,2)</f>
        <v>0</v>
      </c>
      <c r="AX20" s="19">
        <f>ROUND(G20*AP20,2)</f>
        <v>0</v>
      </c>
      <c r="AY20" s="51" t="s">
        <v>185</v>
      </c>
      <c r="AZ20" s="51" t="s">
        <v>180</v>
      </c>
      <c r="BA20" s="14" t="s">
        <v>181</v>
      </c>
      <c r="BC20" s="19">
        <f>AW20+AX20</f>
        <v>0</v>
      </c>
      <c r="BD20" s="19">
        <f>H20/(100-BE20)*100</f>
        <v>0</v>
      </c>
      <c r="BE20" s="19">
        <v>0</v>
      </c>
      <c r="BF20" s="19">
        <f>O20</f>
        <v>0</v>
      </c>
      <c r="BH20" s="19">
        <f>G20*AO20</f>
        <v>0</v>
      </c>
      <c r="BI20" s="19">
        <f>G20*AP20</f>
        <v>0</v>
      </c>
      <c r="BJ20" s="19">
        <f>G20*H20</f>
        <v>0</v>
      </c>
      <c r="BK20" s="51" t="s">
        <v>35</v>
      </c>
      <c r="BL20" s="19">
        <v>18</v>
      </c>
      <c r="BW20" s="19">
        <f>I20</f>
        <v>21</v>
      </c>
      <c r="BX20" s="5" t="s">
        <v>43</v>
      </c>
    </row>
    <row r="21" spans="1:76" ht="13.5" customHeight="1" x14ac:dyDescent="0.25">
      <c r="A21" s="52"/>
      <c r="C21" s="21" t="s">
        <v>182</v>
      </c>
      <c r="D21" s="193" t="s">
        <v>45</v>
      </c>
      <c r="E21" s="194"/>
      <c r="F21" s="194"/>
      <c r="G21" s="194"/>
      <c r="H21" s="194"/>
      <c r="I21" s="194"/>
      <c r="J21" s="194"/>
      <c r="K21" s="194"/>
      <c r="L21" s="194"/>
      <c r="M21" s="194"/>
      <c r="N21" s="194"/>
      <c r="O21" s="194"/>
      <c r="P21" s="195"/>
    </row>
    <row r="22" spans="1:76" ht="13.5" customHeight="1" x14ac:dyDescent="0.25">
      <c r="A22" s="52"/>
      <c r="C22" s="21" t="s">
        <v>40</v>
      </c>
      <c r="D22" s="193" t="s">
        <v>45</v>
      </c>
      <c r="E22" s="194"/>
      <c r="F22" s="194"/>
      <c r="G22" s="194"/>
      <c r="H22" s="194"/>
      <c r="I22" s="194"/>
      <c r="J22" s="194"/>
      <c r="K22" s="194"/>
      <c r="L22" s="194"/>
      <c r="M22" s="194"/>
      <c r="N22" s="194"/>
      <c r="O22" s="194"/>
      <c r="P22" s="195"/>
    </row>
    <row r="23" spans="1:76" x14ac:dyDescent="0.25">
      <c r="A23" s="1" t="s">
        <v>186</v>
      </c>
      <c r="B23" s="2" t="s">
        <v>26</v>
      </c>
      <c r="C23" s="2" t="s">
        <v>46</v>
      </c>
      <c r="D23" s="96" t="s">
        <v>47</v>
      </c>
      <c r="E23" s="90"/>
      <c r="F23" s="2" t="s">
        <v>39</v>
      </c>
      <c r="G23" s="19">
        <f>'Rozpočet - vybrané sloupce'!H19</f>
        <v>31</v>
      </c>
      <c r="H23" s="19">
        <f>'Rozpočet - vybrané sloupce'!I19</f>
        <v>0</v>
      </c>
      <c r="I23" s="18">
        <v>21</v>
      </c>
      <c r="J23" s="19">
        <f>ROUND(G23*AO23,2)</f>
        <v>0</v>
      </c>
      <c r="K23" s="19">
        <f>ROUND(G23*AP23,2)</f>
        <v>0</v>
      </c>
      <c r="L23" s="19">
        <f>ROUND(G23*H23,2)</f>
        <v>0</v>
      </c>
      <c r="M23" s="19">
        <f>L23*(1+BW23/100)</f>
        <v>0</v>
      </c>
      <c r="N23" s="19">
        <v>0</v>
      </c>
      <c r="O23" s="19">
        <f>G23*N23</f>
        <v>0</v>
      </c>
      <c r="P23" s="50" t="s">
        <v>34</v>
      </c>
      <c r="Z23" s="19">
        <f>ROUND(IF(AQ23="5",BJ23,0),2)</f>
        <v>0</v>
      </c>
      <c r="AB23" s="19">
        <f>ROUND(IF(AQ23="1",BH23,0),2)</f>
        <v>0</v>
      </c>
      <c r="AC23" s="19">
        <f>ROUND(IF(AQ23="1",BI23,0),2)</f>
        <v>0</v>
      </c>
      <c r="AD23" s="19">
        <f>ROUND(IF(AQ23="7",BH23,0),2)</f>
        <v>0</v>
      </c>
      <c r="AE23" s="19">
        <f>ROUND(IF(AQ23="7",BI23,0),2)</f>
        <v>0</v>
      </c>
      <c r="AF23" s="19">
        <f>ROUND(IF(AQ23="2",BH23,0),2)</f>
        <v>0</v>
      </c>
      <c r="AG23" s="19">
        <f>ROUND(IF(AQ23="2",BI23,0),2)</f>
        <v>0</v>
      </c>
      <c r="AH23" s="19">
        <f>ROUND(IF(AQ23="0",BJ23,0),2)</f>
        <v>0</v>
      </c>
      <c r="AI23" s="14" t="s">
        <v>26</v>
      </c>
      <c r="AJ23" s="19">
        <f>IF(AN23=0,L23,0)</f>
        <v>0</v>
      </c>
      <c r="AK23" s="19">
        <f>IF(AN23=12,L23,0)</f>
        <v>0</v>
      </c>
      <c r="AL23" s="19">
        <f>IF(AN23=21,L23,0)</f>
        <v>0</v>
      </c>
      <c r="AN23" s="19">
        <v>21</v>
      </c>
      <c r="AO23" s="19">
        <f>H23*0</f>
        <v>0</v>
      </c>
      <c r="AP23" s="19">
        <f>H23*(1-0)</f>
        <v>0</v>
      </c>
      <c r="AQ23" s="51" t="s">
        <v>88</v>
      </c>
      <c r="AV23" s="19">
        <f>ROUND(AW23+AX23,2)</f>
        <v>0</v>
      </c>
      <c r="AW23" s="19">
        <f>ROUND(G23*AO23,2)</f>
        <v>0</v>
      </c>
      <c r="AX23" s="19">
        <f>ROUND(G23*AP23,2)</f>
        <v>0</v>
      </c>
      <c r="AY23" s="51" t="s">
        <v>185</v>
      </c>
      <c r="AZ23" s="51" t="s">
        <v>180</v>
      </c>
      <c r="BA23" s="14" t="s">
        <v>181</v>
      </c>
      <c r="BC23" s="19">
        <f>AW23+AX23</f>
        <v>0</v>
      </c>
      <c r="BD23" s="19">
        <f>H23/(100-BE23)*100</f>
        <v>0</v>
      </c>
      <c r="BE23" s="19">
        <v>0</v>
      </c>
      <c r="BF23" s="19">
        <f>O23</f>
        <v>0</v>
      </c>
      <c r="BH23" s="19">
        <f>G23*AO23</f>
        <v>0</v>
      </c>
      <c r="BI23" s="19">
        <f>G23*AP23</f>
        <v>0</v>
      </c>
      <c r="BJ23" s="19">
        <f>G23*H23</f>
        <v>0</v>
      </c>
      <c r="BK23" s="51" t="s">
        <v>35</v>
      </c>
      <c r="BL23" s="19">
        <v>18</v>
      </c>
      <c r="BW23" s="19">
        <f>I23</f>
        <v>21</v>
      </c>
      <c r="BX23" s="5" t="s">
        <v>47</v>
      </c>
    </row>
    <row r="24" spans="1:76" ht="13.5" customHeight="1" x14ac:dyDescent="0.25">
      <c r="A24" s="52"/>
      <c r="C24" s="21" t="s">
        <v>182</v>
      </c>
      <c r="D24" s="193" t="s">
        <v>48</v>
      </c>
      <c r="E24" s="194"/>
      <c r="F24" s="194"/>
      <c r="G24" s="194"/>
      <c r="H24" s="194"/>
      <c r="I24" s="194"/>
      <c r="J24" s="194"/>
      <c r="K24" s="194"/>
      <c r="L24" s="194"/>
      <c r="M24" s="194"/>
      <c r="N24" s="194"/>
      <c r="O24" s="194"/>
      <c r="P24" s="195"/>
    </row>
    <row r="25" spans="1:76" ht="13.5" customHeight="1" x14ac:dyDescent="0.25">
      <c r="A25" s="52"/>
      <c r="C25" s="21" t="s">
        <v>40</v>
      </c>
      <c r="D25" s="193" t="s">
        <v>48</v>
      </c>
      <c r="E25" s="194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5"/>
    </row>
    <row r="26" spans="1:76" x14ac:dyDescent="0.25">
      <c r="A26" s="1" t="s">
        <v>187</v>
      </c>
      <c r="B26" s="2" t="s">
        <v>26</v>
      </c>
      <c r="C26" s="2" t="s">
        <v>49</v>
      </c>
      <c r="D26" s="96" t="s">
        <v>50</v>
      </c>
      <c r="E26" s="90"/>
      <c r="F26" s="2" t="s">
        <v>44</v>
      </c>
      <c r="G26" s="19">
        <f>'Rozpočet - vybrané sloupce'!H21</f>
        <v>3</v>
      </c>
      <c r="H26" s="19">
        <f>'Rozpočet - vybrané sloupce'!I21</f>
        <v>0</v>
      </c>
      <c r="I26" s="18">
        <v>21</v>
      </c>
      <c r="J26" s="19">
        <f>ROUND(G26*AO26,2)</f>
        <v>0</v>
      </c>
      <c r="K26" s="19">
        <f>ROUND(G26*AP26,2)</f>
        <v>0</v>
      </c>
      <c r="L26" s="19">
        <f>ROUND(G26*H26,2)</f>
        <v>0</v>
      </c>
      <c r="M26" s="19">
        <f>L26*(1+BW26/100)</f>
        <v>0</v>
      </c>
      <c r="N26" s="19">
        <v>0</v>
      </c>
      <c r="O26" s="19">
        <f>G26*N26</f>
        <v>0</v>
      </c>
      <c r="P26" s="50" t="s">
        <v>34</v>
      </c>
      <c r="Z26" s="19">
        <f>ROUND(IF(AQ26="5",BJ26,0),2)</f>
        <v>0</v>
      </c>
      <c r="AB26" s="19">
        <f>ROUND(IF(AQ26="1",BH26,0),2)</f>
        <v>0</v>
      </c>
      <c r="AC26" s="19">
        <f>ROUND(IF(AQ26="1",BI26,0),2)</f>
        <v>0</v>
      </c>
      <c r="AD26" s="19">
        <f>ROUND(IF(AQ26="7",BH26,0),2)</f>
        <v>0</v>
      </c>
      <c r="AE26" s="19">
        <f>ROUND(IF(AQ26="7",BI26,0),2)</f>
        <v>0</v>
      </c>
      <c r="AF26" s="19">
        <f>ROUND(IF(AQ26="2",BH26,0),2)</f>
        <v>0</v>
      </c>
      <c r="AG26" s="19">
        <f>ROUND(IF(AQ26="2",BI26,0),2)</f>
        <v>0</v>
      </c>
      <c r="AH26" s="19">
        <f>ROUND(IF(AQ26="0",BJ26,0),2)</f>
        <v>0</v>
      </c>
      <c r="AI26" s="14" t="s">
        <v>26</v>
      </c>
      <c r="AJ26" s="19">
        <f>IF(AN26=0,L26,0)</f>
        <v>0</v>
      </c>
      <c r="AK26" s="19">
        <f>IF(AN26=12,L26,0)</f>
        <v>0</v>
      </c>
      <c r="AL26" s="19">
        <f>IF(AN26=21,L26,0)</f>
        <v>0</v>
      </c>
      <c r="AN26" s="19">
        <v>21</v>
      </c>
      <c r="AO26" s="19">
        <f>H26*0.005703212</f>
        <v>0</v>
      </c>
      <c r="AP26" s="19">
        <f>H26*(1-0.005703212)</f>
        <v>0</v>
      </c>
      <c r="AQ26" s="51" t="s">
        <v>88</v>
      </c>
      <c r="AV26" s="19">
        <f>ROUND(AW26+AX26,2)</f>
        <v>0</v>
      </c>
      <c r="AW26" s="19">
        <f>ROUND(G26*AO26,2)</f>
        <v>0</v>
      </c>
      <c r="AX26" s="19">
        <f>ROUND(G26*AP26,2)</f>
        <v>0</v>
      </c>
      <c r="AY26" s="51" t="s">
        <v>185</v>
      </c>
      <c r="AZ26" s="51" t="s">
        <v>180</v>
      </c>
      <c r="BA26" s="14" t="s">
        <v>181</v>
      </c>
      <c r="BC26" s="19">
        <f>AW26+AX26</f>
        <v>0</v>
      </c>
      <c r="BD26" s="19">
        <f>H26/(100-BE26)*100</f>
        <v>0</v>
      </c>
      <c r="BE26" s="19">
        <v>0</v>
      </c>
      <c r="BF26" s="19">
        <f>O26</f>
        <v>0</v>
      </c>
      <c r="BH26" s="19">
        <f>G26*AO26</f>
        <v>0</v>
      </c>
      <c r="BI26" s="19">
        <f>G26*AP26</f>
        <v>0</v>
      </c>
      <c r="BJ26" s="19">
        <f>G26*H26</f>
        <v>0</v>
      </c>
      <c r="BK26" s="51" t="s">
        <v>35</v>
      </c>
      <c r="BL26" s="19">
        <v>18</v>
      </c>
      <c r="BW26" s="19">
        <f>I26</f>
        <v>21</v>
      </c>
      <c r="BX26" s="5" t="s">
        <v>50</v>
      </c>
    </row>
    <row r="27" spans="1:76" ht="13.5" customHeight="1" x14ac:dyDescent="0.25">
      <c r="A27" s="52"/>
      <c r="C27" s="21" t="s">
        <v>182</v>
      </c>
      <c r="D27" s="193" t="s">
        <v>45</v>
      </c>
      <c r="E27" s="194"/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5"/>
    </row>
    <row r="28" spans="1:76" ht="13.5" customHeight="1" x14ac:dyDescent="0.25">
      <c r="A28" s="52"/>
      <c r="C28" s="21" t="s">
        <v>40</v>
      </c>
      <c r="D28" s="193" t="s">
        <v>45</v>
      </c>
      <c r="E28" s="194"/>
      <c r="F28" s="194"/>
      <c r="G28" s="194"/>
      <c r="H28" s="194"/>
      <c r="I28" s="194"/>
      <c r="J28" s="194"/>
      <c r="K28" s="194"/>
      <c r="L28" s="194"/>
      <c r="M28" s="194"/>
      <c r="N28" s="194"/>
      <c r="O28" s="194"/>
      <c r="P28" s="195"/>
    </row>
    <row r="29" spans="1:76" x14ac:dyDescent="0.25">
      <c r="A29" s="1" t="s">
        <v>188</v>
      </c>
      <c r="B29" s="2" t="s">
        <v>26</v>
      </c>
      <c r="C29" s="2" t="s">
        <v>51</v>
      </c>
      <c r="D29" s="96" t="s">
        <v>52</v>
      </c>
      <c r="E29" s="90"/>
      <c r="F29" s="2" t="s">
        <v>44</v>
      </c>
      <c r="G29" s="19">
        <f>'Rozpočet - vybrané sloupce'!H23</f>
        <v>3</v>
      </c>
      <c r="H29" s="19">
        <f>'Rozpočet - vybrané sloupce'!I23</f>
        <v>0</v>
      </c>
      <c r="I29" s="18">
        <v>21</v>
      </c>
      <c r="J29" s="19">
        <f>ROUND(G29*AO29,2)</f>
        <v>0</v>
      </c>
      <c r="K29" s="19">
        <f>ROUND(G29*AP29,2)</f>
        <v>0</v>
      </c>
      <c r="L29" s="19">
        <f>ROUND(G29*H29,2)</f>
        <v>0</v>
      </c>
      <c r="M29" s="19">
        <f>L29*(1+BW29/100)</f>
        <v>0</v>
      </c>
      <c r="N29" s="19">
        <v>5.5999999999999995E-4</v>
      </c>
      <c r="O29" s="19">
        <f>G29*N29</f>
        <v>1.6799999999999999E-3</v>
      </c>
      <c r="P29" s="50" t="s">
        <v>34</v>
      </c>
      <c r="Z29" s="19">
        <f>ROUND(IF(AQ29="5",BJ29,0),2)</f>
        <v>0</v>
      </c>
      <c r="AB29" s="19">
        <f>ROUND(IF(AQ29="1",BH29,0),2)</f>
        <v>0</v>
      </c>
      <c r="AC29" s="19">
        <f>ROUND(IF(AQ29="1",BI29,0),2)</f>
        <v>0</v>
      </c>
      <c r="AD29" s="19">
        <f>ROUND(IF(AQ29="7",BH29,0),2)</f>
        <v>0</v>
      </c>
      <c r="AE29" s="19">
        <f>ROUND(IF(AQ29="7",BI29,0),2)</f>
        <v>0</v>
      </c>
      <c r="AF29" s="19">
        <f>ROUND(IF(AQ29="2",BH29,0),2)</f>
        <v>0</v>
      </c>
      <c r="AG29" s="19">
        <f>ROUND(IF(AQ29="2",BI29,0),2)</f>
        <v>0</v>
      </c>
      <c r="AH29" s="19">
        <f>ROUND(IF(AQ29="0",BJ29,0),2)</f>
        <v>0</v>
      </c>
      <c r="AI29" s="14" t="s">
        <v>26</v>
      </c>
      <c r="AJ29" s="19">
        <f>IF(AN29=0,L29,0)</f>
        <v>0</v>
      </c>
      <c r="AK29" s="19">
        <f>IF(AN29=12,L29,0)</f>
        <v>0</v>
      </c>
      <c r="AL29" s="19">
        <f>IF(AN29=21,L29,0)</f>
        <v>0</v>
      </c>
      <c r="AN29" s="19">
        <v>21</v>
      </c>
      <c r="AO29" s="19">
        <f>H29*0.125769854</f>
        <v>0</v>
      </c>
      <c r="AP29" s="19">
        <f>H29*(1-0.125769854)</f>
        <v>0</v>
      </c>
      <c r="AQ29" s="51" t="s">
        <v>88</v>
      </c>
      <c r="AV29" s="19">
        <f>ROUND(AW29+AX29,2)</f>
        <v>0</v>
      </c>
      <c r="AW29" s="19">
        <f>ROUND(G29*AO29,2)</f>
        <v>0</v>
      </c>
      <c r="AX29" s="19">
        <f>ROUND(G29*AP29,2)</f>
        <v>0</v>
      </c>
      <c r="AY29" s="51" t="s">
        <v>185</v>
      </c>
      <c r="AZ29" s="51" t="s">
        <v>180</v>
      </c>
      <c r="BA29" s="14" t="s">
        <v>181</v>
      </c>
      <c r="BC29" s="19">
        <f>AW29+AX29</f>
        <v>0</v>
      </c>
      <c r="BD29" s="19">
        <f>H29/(100-BE29)*100</f>
        <v>0</v>
      </c>
      <c r="BE29" s="19">
        <v>0</v>
      </c>
      <c r="BF29" s="19">
        <f>O29</f>
        <v>1.6799999999999999E-3</v>
      </c>
      <c r="BH29" s="19">
        <f>G29*AO29</f>
        <v>0</v>
      </c>
      <c r="BI29" s="19">
        <f>G29*AP29</f>
        <v>0</v>
      </c>
      <c r="BJ29" s="19">
        <f>G29*H29</f>
        <v>0</v>
      </c>
      <c r="BK29" s="51" t="s">
        <v>35</v>
      </c>
      <c r="BL29" s="19">
        <v>18</v>
      </c>
      <c r="BW29" s="19">
        <f>I29</f>
        <v>21</v>
      </c>
      <c r="BX29" s="5" t="s">
        <v>52</v>
      </c>
    </row>
    <row r="30" spans="1:76" ht="13.5" customHeight="1" x14ac:dyDescent="0.25">
      <c r="A30" s="52"/>
      <c r="C30" s="21" t="s">
        <v>182</v>
      </c>
      <c r="D30" s="193" t="s">
        <v>45</v>
      </c>
      <c r="E30" s="194"/>
      <c r="F30" s="194"/>
      <c r="G30" s="194"/>
      <c r="H30" s="194"/>
      <c r="I30" s="194"/>
      <c r="J30" s="194"/>
      <c r="K30" s="194"/>
      <c r="L30" s="194"/>
      <c r="M30" s="194"/>
      <c r="N30" s="194"/>
      <c r="O30" s="194"/>
      <c r="P30" s="195"/>
    </row>
    <row r="31" spans="1:76" ht="13.5" customHeight="1" x14ac:dyDescent="0.25">
      <c r="A31" s="52"/>
      <c r="C31" s="21" t="s">
        <v>40</v>
      </c>
      <c r="D31" s="193" t="s">
        <v>45</v>
      </c>
      <c r="E31" s="194"/>
      <c r="F31" s="194"/>
      <c r="G31" s="194"/>
      <c r="H31" s="194"/>
      <c r="I31" s="194"/>
      <c r="J31" s="194"/>
      <c r="K31" s="194"/>
      <c r="L31" s="194"/>
      <c r="M31" s="194"/>
      <c r="N31" s="194"/>
      <c r="O31" s="194"/>
      <c r="P31" s="195"/>
    </row>
    <row r="32" spans="1:76" x14ac:dyDescent="0.25">
      <c r="A32" s="1" t="s">
        <v>189</v>
      </c>
      <c r="B32" s="2" t="s">
        <v>26</v>
      </c>
      <c r="C32" s="2" t="s">
        <v>53</v>
      </c>
      <c r="D32" s="96" t="s">
        <v>54</v>
      </c>
      <c r="E32" s="90"/>
      <c r="F32" s="2" t="s">
        <v>44</v>
      </c>
      <c r="G32" s="19">
        <f>'Rozpočet - vybrané sloupce'!H25</f>
        <v>55</v>
      </c>
      <c r="H32" s="19">
        <f>'Rozpočet - vybrané sloupce'!I25</f>
        <v>0</v>
      </c>
      <c r="I32" s="18">
        <v>21</v>
      </c>
      <c r="J32" s="19">
        <f>ROUND(G32*AO32,2)</f>
        <v>0</v>
      </c>
      <c r="K32" s="19">
        <f>ROUND(G32*AP32,2)</f>
        <v>0</v>
      </c>
      <c r="L32" s="19">
        <f>ROUND(G32*H32,2)</f>
        <v>0</v>
      </c>
      <c r="M32" s="19">
        <f>L32*(1+BW32/100)</f>
        <v>0</v>
      </c>
      <c r="N32" s="19">
        <v>0</v>
      </c>
      <c r="O32" s="19">
        <f>G32*N32</f>
        <v>0</v>
      </c>
      <c r="P32" s="50" t="s">
        <v>34</v>
      </c>
      <c r="Z32" s="19">
        <f>ROUND(IF(AQ32="5",BJ32,0),2)</f>
        <v>0</v>
      </c>
      <c r="AB32" s="19">
        <f>ROUND(IF(AQ32="1",BH32,0),2)</f>
        <v>0</v>
      </c>
      <c r="AC32" s="19">
        <f>ROUND(IF(AQ32="1",BI32,0),2)</f>
        <v>0</v>
      </c>
      <c r="AD32" s="19">
        <f>ROUND(IF(AQ32="7",BH32,0),2)</f>
        <v>0</v>
      </c>
      <c r="AE32" s="19">
        <f>ROUND(IF(AQ32="7",BI32,0),2)</f>
        <v>0</v>
      </c>
      <c r="AF32" s="19">
        <f>ROUND(IF(AQ32="2",BH32,0),2)</f>
        <v>0</v>
      </c>
      <c r="AG32" s="19">
        <f>ROUND(IF(AQ32="2",BI32,0),2)</f>
        <v>0</v>
      </c>
      <c r="AH32" s="19">
        <f>ROUND(IF(AQ32="0",BJ32,0),2)</f>
        <v>0</v>
      </c>
      <c r="AI32" s="14" t="s">
        <v>26</v>
      </c>
      <c r="AJ32" s="19">
        <f>IF(AN32=0,L32,0)</f>
        <v>0</v>
      </c>
      <c r="AK32" s="19">
        <f>IF(AN32=12,L32,0)</f>
        <v>0</v>
      </c>
      <c r="AL32" s="19">
        <f>IF(AN32=21,L32,0)</f>
        <v>0</v>
      </c>
      <c r="AN32" s="19">
        <v>21</v>
      </c>
      <c r="AO32" s="19">
        <f>H32*0</f>
        <v>0</v>
      </c>
      <c r="AP32" s="19">
        <f>H32*(1-0)</f>
        <v>0</v>
      </c>
      <c r="AQ32" s="51" t="s">
        <v>88</v>
      </c>
      <c r="AV32" s="19">
        <f>ROUND(AW32+AX32,2)</f>
        <v>0</v>
      </c>
      <c r="AW32" s="19">
        <f>ROUND(G32*AO32,2)</f>
        <v>0</v>
      </c>
      <c r="AX32" s="19">
        <f>ROUND(G32*AP32,2)</f>
        <v>0</v>
      </c>
      <c r="AY32" s="51" t="s">
        <v>185</v>
      </c>
      <c r="AZ32" s="51" t="s">
        <v>180</v>
      </c>
      <c r="BA32" s="14" t="s">
        <v>181</v>
      </c>
      <c r="BC32" s="19">
        <f>AW32+AX32</f>
        <v>0</v>
      </c>
      <c r="BD32" s="19">
        <f>H32/(100-BE32)*100</f>
        <v>0</v>
      </c>
      <c r="BE32" s="19">
        <v>0</v>
      </c>
      <c r="BF32" s="19">
        <f>O32</f>
        <v>0</v>
      </c>
      <c r="BH32" s="19">
        <f>G32*AO32</f>
        <v>0</v>
      </c>
      <c r="BI32" s="19">
        <f>G32*AP32</f>
        <v>0</v>
      </c>
      <c r="BJ32" s="19">
        <f>G32*H32</f>
        <v>0</v>
      </c>
      <c r="BK32" s="51" t="s">
        <v>35</v>
      </c>
      <c r="BL32" s="19">
        <v>18</v>
      </c>
      <c r="BW32" s="19">
        <f>I32</f>
        <v>21</v>
      </c>
      <c r="BX32" s="5" t="s">
        <v>54</v>
      </c>
    </row>
    <row r="33" spans="1:76" ht="40.5" customHeight="1" x14ac:dyDescent="0.25">
      <c r="A33" s="52"/>
      <c r="C33" s="21" t="s">
        <v>182</v>
      </c>
      <c r="D33" s="193" t="s">
        <v>55</v>
      </c>
      <c r="E33" s="194"/>
      <c r="F33" s="194"/>
      <c r="G33" s="194"/>
      <c r="H33" s="194"/>
      <c r="I33" s="194"/>
      <c r="J33" s="194"/>
      <c r="K33" s="194"/>
      <c r="L33" s="194"/>
      <c r="M33" s="194"/>
      <c r="N33" s="194"/>
      <c r="O33" s="194"/>
      <c r="P33" s="195"/>
    </row>
    <row r="34" spans="1:76" ht="40.5" customHeight="1" x14ac:dyDescent="0.25">
      <c r="A34" s="52"/>
      <c r="C34" s="21" t="s">
        <v>40</v>
      </c>
      <c r="D34" s="193" t="s">
        <v>55</v>
      </c>
      <c r="E34" s="194"/>
      <c r="F34" s="194"/>
      <c r="G34" s="194"/>
      <c r="H34" s="194"/>
      <c r="I34" s="194"/>
      <c r="J34" s="194"/>
      <c r="K34" s="194"/>
      <c r="L34" s="194"/>
      <c r="M34" s="194"/>
      <c r="N34" s="194"/>
      <c r="O34" s="194"/>
      <c r="P34" s="195"/>
    </row>
    <row r="35" spans="1:76" x14ac:dyDescent="0.25">
      <c r="A35" s="1" t="s">
        <v>190</v>
      </c>
      <c r="B35" s="2" t="s">
        <v>26</v>
      </c>
      <c r="C35" s="2" t="s">
        <v>56</v>
      </c>
      <c r="D35" s="96" t="s">
        <v>57</v>
      </c>
      <c r="E35" s="90"/>
      <c r="F35" s="2" t="s">
        <v>44</v>
      </c>
      <c r="G35" s="19">
        <f>'Rozpočet - vybrané sloupce'!H27</f>
        <v>55</v>
      </c>
      <c r="H35" s="19">
        <f>'Rozpočet - vybrané sloupce'!I27</f>
        <v>0</v>
      </c>
      <c r="I35" s="18">
        <v>21</v>
      </c>
      <c r="J35" s="19">
        <f>ROUND(G35*AO35,2)</f>
        <v>0</v>
      </c>
      <c r="K35" s="19">
        <f>ROUND(G35*AP35,2)</f>
        <v>0</v>
      </c>
      <c r="L35" s="19">
        <f>ROUND(G35*H35,2)</f>
        <v>0</v>
      </c>
      <c r="M35" s="19">
        <f>L35*(1+BW35/100)</f>
        <v>0</v>
      </c>
      <c r="N35" s="19">
        <v>0</v>
      </c>
      <c r="O35" s="19">
        <f>G35*N35</f>
        <v>0</v>
      </c>
      <c r="P35" s="50" t="s">
        <v>34</v>
      </c>
      <c r="Z35" s="19">
        <f>ROUND(IF(AQ35="5",BJ35,0),2)</f>
        <v>0</v>
      </c>
      <c r="AB35" s="19">
        <f>ROUND(IF(AQ35="1",BH35,0),2)</f>
        <v>0</v>
      </c>
      <c r="AC35" s="19">
        <f>ROUND(IF(AQ35="1",BI35,0),2)</f>
        <v>0</v>
      </c>
      <c r="AD35" s="19">
        <f>ROUND(IF(AQ35="7",BH35,0),2)</f>
        <v>0</v>
      </c>
      <c r="AE35" s="19">
        <f>ROUND(IF(AQ35="7",BI35,0),2)</f>
        <v>0</v>
      </c>
      <c r="AF35" s="19">
        <f>ROUND(IF(AQ35="2",BH35,0),2)</f>
        <v>0</v>
      </c>
      <c r="AG35" s="19">
        <f>ROUND(IF(AQ35="2",BI35,0),2)</f>
        <v>0</v>
      </c>
      <c r="AH35" s="19">
        <f>ROUND(IF(AQ35="0",BJ35,0),2)</f>
        <v>0</v>
      </c>
      <c r="AI35" s="14" t="s">
        <v>26</v>
      </c>
      <c r="AJ35" s="19">
        <f>IF(AN35=0,L35,0)</f>
        <v>0</v>
      </c>
      <c r="AK35" s="19">
        <f>IF(AN35=12,L35,0)</f>
        <v>0</v>
      </c>
      <c r="AL35" s="19">
        <f>IF(AN35=21,L35,0)</f>
        <v>0</v>
      </c>
      <c r="AN35" s="19">
        <v>21</v>
      </c>
      <c r="AO35" s="19">
        <f>H35*0.008557214</f>
        <v>0</v>
      </c>
      <c r="AP35" s="19">
        <f>H35*(1-0.008557214)</f>
        <v>0</v>
      </c>
      <c r="AQ35" s="51" t="s">
        <v>88</v>
      </c>
      <c r="AV35" s="19">
        <f>ROUND(AW35+AX35,2)</f>
        <v>0</v>
      </c>
      <c r="AW35" s="19">
        <f>ROUND(G35*AO35,2)</f>
        <v>0</v>
      </c>
      <c r="AX35" s="19">
        <f>ROUND(G35*AP35,2)</f>
        <v>0</v>
      </c>
      <c r="AY35" s="51" t="s">
        <v>185</v>
      </c>
      <c r="AZ35" s="51" t="s">
        <v>180</v>
      </c>
      <c r="BA35" s="14" t="s">
        <v>181</v>
      </c>
      <c r="BC35" s="19">
        <f>AW35+AX35</f>
        <v>0</v>
      </c>
      <c r="BD35" s="19">
        <f>H35/(100-BE35)*100</f>
        <v>0</v>
      </c>
      <c r="BE35" s="19">
        <v>0</v>
      </c>
      <c r="BF35" s="19">
        <f>O35</f>
        <v>0</v>
      </c>
      <c r="BH35" s="19">
        <f>G35*AO35</f>
        <v>0</v>
      </c>
      <c r="BI35" s="19">
        <f>G35*AP35</f>
        <v>0</v>
      </c>
      <c r="BJ35" s="19">
        <f>G35*H35</f>
        <v>0</v>
      </c>
      <c r="BK35" s="51" t="s">
        <v>35</v>
      </c>
      <c r="BL35" s="19">
        <v>18</v>
      </c>
      <c r="BW35" s="19">
        <f>I35</f>
        <v>21</v>
      </c>
      <c r="BX35" s="5" t="s">
        <v>57</v>
      </c>
    </row>
    <row r="36" spans="1:76" ht="40.5" customHeight="1" x14ac:dyDescent="0.25">
      <c r="A36" s="52"/>
      <c r="C36" s="21" t="s">
        <v>182</v>
      </c>
      <c r="D36" s="193" t="s">
        <v>55</v>
      </c>
      <c r="E36" s="194"/>
      <c r="F36" s="194"/>
      <c r="G36" s="194"/>
      <c r="H36" s="194"/>
      <c r="I36" s="194"/>
      <c r="J36" s="194"/>
      <c r="K36" s="194"/>
      <c r="L36" s="194"/>
      <c r="M36" s="194"/>
      <c r="N36" s="194"/>
      <c r="O36" s="194"/>
      <c r="P36" s="195"/>
    </row>
    <row r="37" spans="1:76" ht="40.5" customHeight="1" x14ac:dyDescent="0.25">
      <c r="A37" s="52"/>
      <c r="C37" s="21" t="s">
        <v>40</v>
      </c>
      <c r="D37" s="193" t="s">
        <v>55</v>
      </c>
      <c r="E37" s="194"/>
      <c r="F37" s="194"/>
      <c r="G37" s="194"/>
      <c r="H37" s="194"/>
      <c r="I37" s="194"/>
      <c r="J37" s="194"/>
      <c r="K37" s="194"/>
      <c r="L37" s="194"/>
      <c r="M37" s="194"/>
      <c r="N37" s="194"/>
      <c r="O37" s="194"/>
      <c r="P37" s="195"/>
    </row>
    <row r="38" spans="1:76" x14ac:dyDescent="0.25">
      <c r="A38" s="1" t="s">
        <v>191</v>
      </c>
      <c r="B38" s="2" t="s">
        <v>26</v>
      </c>
      <c r="C38" s="2" t="s">
        <v>58</v>
      </c>
      <c r="D38" s="96" t="s">
        <v>59</v>
      </c>
      <c r="E38" s="90"/>
      <c r="F38" s="2" t="s">
        <v>39</v>
      </c>
      <c r="G38" s="19">
        <f>'Rozpočet - vybrané sloupce'!H29</f>
        <v>31</v>
      </c>
      <c r="H38" s="19">
        <f>'Rozpočet - vybrané sloupce'!I29</f>
        <v>0</v>
      </c>
      <c r="I38" s="18">
        <v>21</v>
      </c>
      <c r="J38" s="19">
        <f>ROUND(G38*AO38,2)</f>
        <v>0</v>
      </c>
      <c r="K38" s="19">
        <f>ROUND(G38*AP38,2)</f>
        <v>0</v>
      </c>
      <c r="L38" s="19">
        <f>ROUND(G38*H38,2)</f>
        <v>0</v>
      </c>
      <c r="M38" s="19">
        <f>L38*(1+BW38/100)</f>
        <v>0</v>
      </c>
      <c r="N38" s="19">
        <v>0</v>
      </c>
      <c r="O38" s="19">
        <f>G38*N38</f>
        <v>0</v>
      </c>
      <c r="P38" s="50" t="s">
        <v>34</v>
      </c>
      <c r="Z38" s="19">
        <f>ROUND(IF(AQ38="5",BJ38,0),2)</f>
        <v>0</v>
      </c>
      <c r="AB38" s="19">
        <f>ROUND(IF(AQ38="1",BH38,0),2)</f>
        <v>0</v>
      </c>
      <c r="AC38" s="19">
        <f>ROUND(IF(AQ38="1",BI38,0),2)</f>
        <v>0</v>
      </c>
      <c r="AD38" s="19">
        <f>ROUND(IF(AQ38="7",BH38,0),2)</f>
        <v>0</v>
      </c>
      <c r="AE38" s="19">
        <f>ROUND(IF(AQ38="7",BI38,0),2)</f>
        <v>0</v>
      </c>
      <c r="AF38" s="19">
        <f>ROUND(IF(AQ38="2",BH38,0),2)</f>
        <v>0</v>
      </c>
      <c r="AG38" s="19">
        <f>ROUND(IF(AQ38="2",BI38,0),2)</f>
        <v>0</v>
      </c>
      <c r="AH38" s="19">
        <f>ROUND(IF(AQ38="0",BJ38,0),2)</f>
        <v>0</v>
      </c>
      <c r="AI38" s="14" t="s">
        <v>26</v>
      </c>
      <c r="AJ38" s="19">
        <f>IF(AN38=0,L38,0)</f>
        <v>0</v>
      </c>
      <c r="AK38" s="19">
        <f>IF(AN38=12,L38,0)</f>
        <v>0</v>
      </c>
      <c r="AL38" s="19">
        <f>IF(AN38=21,L38,0)</f>
        <v>0</v>
      </c>
      <c r="AN38" s="19">
        <v>21</v>
      </c>
      <c r="AO38" s="19">
        <f>H38*0</f>
        <v>0</v>
      </c>
      <c r="AP38" s="19">
        <f>H38*(1-0)</f>
        <v>0</v>
      </c>
      <c r="AQ38" s="51" t="s">
        <v>88</v>
      </c>
      <c r="AV38" s="19">
        <f>ROUND(AW38+AX38,2)</f>
        <v>0</v>
      </c>
      <c r="AW38" s="19">
        <f>ROUND(G38*AO38,2)</f>
        <v>0</v>
      </c>
      <c r="AX38" s="19">
        <f>ROUND(G38*AP38,2)</f>
        <v>0</v>
      </c>
      <c r="AY38" s="51" t="s">
        <v>185</v>
      </c>
      <c r="AZ38" s="51" t="s">
        <v>180</v>
      </c>
      <c r="BA38" s="14" t="s">
        <v>181</v>
      </c>
      <c r="BC38" s="19">
        <f>AW38+AX38</f>
        <v>0</v>
      </c>
      <c r="BD38" s="19">
        <f>H38/(100-BE38)*100</f>
        <v>0</v>
      </c>
      <c r="BE38" s="19">
        <v>0</v>
      </c>
      <c r="BF38" s="19">
        <f>O38</f>
        <v>0</v>
      </c>
      <c r="BH38" s="19">
        <f>G38*AO38</f>
        <v>0</v>
      </c>
      <c r="BI38" s="19">
        <f>G38*AP38</f>
        <v>0</v>
      </c>
      <c r="BJ38" s="19">
        <f>G38*H38</f>
        <v>0</v>
      </c>
      <c r="BK38" s="51" t="s">
        <v>35</v>
      </c>
      <c r="BL38" s="19">
        <v>18</v>
      </c>
      <c r="BW38" s="19">
        <f>I38</f>
        <v>21</v>
      </c>
      <c r="BX38" s="5" t="s">
        <v>59</v>
      </c>
    </row>
    <row r="39" spans="1:76" ht="13.5" customHeight="1" x14ac:dyDescent="0.25">
      <c r="A39" s="52"/>
      <c r="C39" s="21" t="s">
        <v>182</v>
      </c>
      <c r="D39" s="193" t="s">
        <v>60</v>
      </c>
      <c r="E39" s="194"/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195"/>
    </row>
    <row r="40" spans="1:76" ht="13.5" customHeight="1" x14ac:dyDescent="0.25">
      <c r="A40" s="52"/>
      <c r="C40" s="21" t="s">
        <v>40</v>
      </c>
      <c r="D40" s="193" t="s">
        <v>60</v>
      </c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5"/>
    </row>
    <row r="41" spans="1:76" x14ac:dyDescent="0.25">
      <c r="A41" s="1" t="s">
        <v>129</v>
      </c>
      <c r="B41" s="2" t="s">
        <v>26</v>
      </c>
      <c r="C41" s="2" t="s">
        <v>61</v>
      </c>
      <c r="D41" s="96" t="s">
        <v>62</v>
      </c>
      <c r="E41" s="90"/>
      <c r="F41" s="2" t="s">
        <v>39</v>
      </c>
      <c r="G41" s="19">
        <f>'Rozpočet - vybrané sloupce'!H31</f>
        <v>3</v>
      </c>
      <c r="H41" s="19">
        <f>'Rozpočet - vybrané sloupce'!I31</f>
        <v>0</v>
      </c>
      <c r="I41" s="18">
        <v>21</v>
      </c>
      <c r="J41" s="19">
        <f>ROUND(G41*AO41,2)</f>
        <v>0</v>
      </c>
      <c r="K41" s="19">
        <f>ROUND(G41*AP41,2)</f>
        <v>0</v>
      </c>
      <c r="L41" s="19">
        <f>ROUND(G41*H41,2)</f>
        <v>0</v>
      </c>
      <c r="M41" s="19">
        <f>L41*(1+BW41/100)</f>
        <v>0</v>
      </c>
      <c r="N41" s="19">
        <v>2.4000000000000001E-4</v>
      </c>
      <c r="O41" s="19">
        <f>G41*N41</f>
        <v>7.2000000000000005E-4</v>
      </c>
      <c r="P41" s="50" t="s">
        <v>34</v>
      </c>
      <c r="Z41" s="19">
        <f>ROUND(IF(AQ41="5",BJ41,0),2)</f>
        <v>0</v>
      </c>
      <c r="AB41" s="19">
        <f>ROUND(IF(AQ41="1",BH41,0),2)</f>
        <v>0</v>
      </c>
      <c r="AC41" s="19">
        <f>ROUND(IF(AQ41="1",BI41,0),2)</f>
        <v>0</v>
      </c>
      <c r="AD41" s="19">
        <f>ROUND(IF(AQ41="7",BH41,0),2)</f>
        <v>0</v>
      </c>
      <c r="AE41" s="19">
        <f>ROUND(IF(AQ41="7",BI41,0),2)</f>
        <v>0</v>
      </c>
      <c r="AF41" s="19">
        <f>ROUND(IF(AQ41="2",BH41,0),2)</f>
        <v>0</v>
      </c>
      <c r="AG41" s="19">
        <f>ROUND(IF(AQ41="2",BI41,0),2)</f>
        <v>0</v>
      </c>
      <c r="AH41" s="19">
        <f>ROUND(IF(AQ41="0",BJ41,0),2)</f>
        <v>0</v>
      </c>
      <c r="AI41" s="14" t="s">
        <v>26</v>
      </c>
      <c r="AJ41" s="19">
        <f>IF(AN41=0,L41,0)</f>
        <v>0</v>
      </c>
      <c r="AK41" s="19">
        <f>IF(AN41=12,L41,0)</f>
        <v>0</v>
      </c>
      <c r="AL41" s="19">
        <f>IF(AN41=21,L41,0)</f>
        <v>0</v>
      </c>
      <c r="AN41" s="19">
        <v>21</v>
      </c>
      <c r="AO41" s="19">
        <f>H41*0.444110672</f>
        <v>0</v>
      </c>
      <c r="AP41" s="19">
        <f>H41*(1-0.444110672)</f>
        <v>0</v>
      </c>
      <c r="AQ41" s="51" t="s">
        <v>88</v>
      </c>
      <c r="AV41" s="19">
        <f>ROUND(AW41+AX41,2)</f>
        <v>0</v>
      </c>
      <c r="AW41" s="19">
        <f>ROUND(G41*AO41,2)</f>
        <v>0</v>
      </c>
      <c r="AX41" s="19">
        <f>ROUND(G41*AP41,2)</f>
        <v>0</v>
      </c>
      <c r="AY41" s="51" t="s">
        <v>185</v>
      </c>
      <c r="AZ41" s="51" t="s">
        <v>180</v>
      </c>
      <c r="BA41" s="14" t="s">
        <v>181</v>
      </c>
      <c r="BC41" s="19">
        <f>AW41+AX41</f>
        <v>0</v>
      </c>
      <c r="BD41" s="19">
        <f>H41/(100-BE41)*100</f>
        <v>0</v>
      </c>
      <c r="BE41" s="19">
        <v>0</v>
      </c>
      <c r="BF41" s="19">
        <f>O41</f>
        <v>7.2000000000000005E-4</v>
      </c>
      <c r="BH41" s="19">
        <f>G41*AO41</f>
        <v>0</v>
      </c>
      <c r="BI41" s="19">
        <f>G41*AP41</f>
        <v>0</v>
      </c>
      <c r="BJ41" s="19">
        <f>G41*H41</f>
        <v>0</v>
      </c>
      <c r="BK41" s="51" t="s">
        <v>35</v>
      </c>
      <c r="BL41" s="19">
        <v>18</v>
      </c>
      <c r="BW41" s="19">
        <f>I41</f>
        <v>21</v>
      </c>
      <c r="BX41" s="5" t="s">
        <v>62</v>
      </c>
    </row>
    <row r="42" spans="1:76" ht="13.5" customHeight="1" x14ac:dyDescent="0.25">
      <c r="A42" s="52"/>
      <c r="C42" s="21" t="s">
        <v>182</v>
      </c>
      <c r="D42" s="193" t="s">
        <v>63</v>
      </c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5"/>
    </row>
    <row r="43" spans="1:76" ht="13.5" customHeight="1" x14ac:dyDescent="0.25">
      <c r="A43" s="52"/>
      <c r="C43" s="21" t="s">
        <v>40</v>
      </c>
      <c r="D43" s="193" t="s">
        <v>63</v>
      </c>
      <c r="E43" s="194"/>
      <c r="F43" s="194"/>
      <c r="G43" s="194"/>
      <c r="H43" s="194"/>
      <c r="I43" s="194"/>
      <c r="J43" s="194"/>
      <c r="K43" s="194"/>
      <c r="L43" s="194"/>
      <c r="M43" s="194"/>
      <c r="N43" s="194"/>
      <c r="O43" s="194"/>
      <c r="P43" s="195"/>
    </row>
    <row r="44" spans="1:76" x14ac:dyDescent="0.25">
      <c r="A44" s="1" t="s">
        <v>192</v>
      </c>
      <c r="B44" s="2" t="s">
        <v>26</v>
      </c>
      <c r="C44" s="2" t="s">
        <v>64</v>
      </c>
      <c r="D44" s="96" t="s">
        <v>65</v>
      </c>
      <c r="E44" s="90"/>
      <c r="F44" s="2" t="s">
        <v>33</v>
      </c>
      <c r="G44" s="19">
        <f>'Rozpočet - vybrané sloupce'!H33</f>
        <v>1.85</v>
      </c>
      <c r="H44" s="19">
        <f>'Rozpočet - vybrané sloupce'!I33</f>
        <v>0</v>
      </c>
      <c r="I44" s="18">
        <v>21</v>
      </c>
      <c r="J44" s="19">
        <f>ROUND(G44*AO44,2)</f>
        <v>0</v>
      </c>
      <c r="K44" s="19">
        <f>ROUND(G44*AP44,2)</f>
        <v>0</v>
      </c>
      <c r="L44" s="19">
        <f>ROUND(G44*H44,2)</f>
        <v>0</v>
      </c>
      <c r="M44" s="19">
        <f>L44*(1+BW44/100)</f>
        <v>0</v>
      </c>
      <c r="N44" s="19">
        <v>0</v>
      </c>
      <c r="O44" s="19">
        <f>G44*N44</f>
        <v>0</v>
      </c>
      <c r="P44" s="50" t="s">
        <v>34</v>
      </c>
      <c r="Z44" s="19">
        <f>ROUND(IF(AQ44="5",BJ44,0),2)</f>
        <v>0</v>
      </c>
      <c r="AB44" s="19">
        <f>ROUND(IF(AQ44="1",BH44,0),2)</f>
        <v>0</v>
      </c>
      <c r="AC44" s="19">
        <f>ROUND(IF(AQ44="1",BI44,0),2)</f>
        <v>0</v>
      </c>
      <c r="AD44" s="19">
        <f>ROUND(IF(AQ44="7",BH44,0),2)</f>
        <v>0</v>
      </c>
      <c r="AE44" s="19">
        <f>ROUND(IF(AQ44="7",BI44,0),2)</f>
        <v>0</v>
      </c>
      <c r="AF44" s="19">
        <f>ROUND(IF(AQ44="2",BH44,0),2)</f>
        <v>0</v>
      </c>
      <c r="AG44" s="19">
        <f>ROUND(IF(AQ44="2",BI44,0),2)</f>
        <v>0</v>
      </c>
      <c r="AH44" s="19">
        <f>ROUND(IF(AQ44="0",BJ44,0),2)</f>
        <v>0</v>
      </c>
      <c r="AI44" s="14" t="s">
        <v>26</v>
      </c>
      <c r="AJ44" s="19">
        <f>IF(AN44=0,L44,0)</f>
        <v>0</v>
      </c>
      <c r="AK44" s="19">
        <f>IF(AN44=12,L44,0)</f>
        <v>0</v>
      </c>
      <c r="AL44" s="19">
        <f>IF(AN44=21,L44,0)</f>
        <v>0</v>
      </c>
      <c r="AN44" s="19">
        <v>21</v>
      </c>
      <c r="AO44" s="19">
        <f>H44*0.284154618</f>
        <v>0</v>
      </c>
      <c r="AP44" s="19">
        <f>H44*(1-0.284154618)</f>
        <v>0</v>
      </c>
      <c r="AQ44" s="51" t="s">
        <v>88</v>
      </c>
      <c r="AV44" s="19">
        <f>ROUND(AW44+AX44,2)</f>
        <v>0</v>
      </c>
      <c r="AW44" s="19">
        <f>ROUND(G44*AO44,2)</f>
        <v>0</v>
      </c>
      <c r="AX44" s="19">
        <f>ROUND(G44*AP44,2)</f>
        <v>0</v>
      </c>
      <c r="AY44" s="51" t="s">
        <v>185</v>
      </c>
      <c r="AZ44" s="51" t="s">
        <v>180</v>
      </c>
      <c r="BA44" s="14" t="s">
        <v>181</v>
      </c>
      <c r="BC44" s="19">
        <f>AW44+AX44</f>
        <v>0</v>
      </c>
      <c r="BD44" s="19">
        <f>H44/(100-BE44)*100</f>
        <v>0</v>
      </c>
      <c r="BE44" s="19">
        <v>0</v>
      </c>
      <c r="BF44" s="19">
        <f>O44</f>
        <v>0</v>
      </c>
      <c r="BH44" s="19">
        <f>G44*AO44</f>
        <v>0</v>
      </c>
      <c r="BI44" s="19">
        <f>G44*AP44</f>
        <v>0</v>
      </c>
      <c r="BJ44" s="19">
        <f>G44*H44</f>
        <v>0</v>
      </c>
      <c r="BK44" s="51" t="s">
        <v>35</v>
      </c>
      <c r="BL44" s="19">
        <v>18</v>
      </c>
      <c r="BW44" s="19">
        <f>I44</f>
        <v>21</v>
      </c>
      <c r="BX44" s="5" t="s">
        <v>65</v>
      </c>
    </row>
    <row r="45" spans="1:76" ht="27" customHeight="1" x14ac:dyDescent="0.25">
      <c r="A45" s="52"/>
      <c r="C45" s="21" t="s">
        <v>182</v>
      </c>
      <c r="D45" s="193" t="s">
        <v>66</v>
      </c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5"/>
    </row>
    <row r="46" spans="1:76" ht="27" customHeight="1" x14ac:dyDescent="0.25">
      <c r="A46" s="52"/>
      <c r="C46" s="21" t="s">
        <v>40</v>
      </c>
      <c r="D46" s="193" t="s">
        <v>66</v>
      </c>
      <c r="E46" s="194"/>
      <c r="F46" s="194"/>
      <c r="G46" s="194"/>
      <c r="H46" s="194"/>
      <c r="I46" s="194"/>
      <c r="J46" s="194"/>
      <c r="K46" s="194"/>
      <c r="L46" s="194"/>
      <c r="M46" s="194"/>
      <c r="N46" s="194"/>
      <c r="O46" s="194"/>
      <c r="P46" s="195"/>
    </row>
    <row r="47" spans="1:76" x14ac:dyDescent="0.25">
      <c r="A47" s="1" t="s">
        <v>29</v>
      </c>
      <c r="B47" s="2" t="s">
        <v>26</v>
      </c>
      <c r="C47" s="2" t="s">
        <v>67</v>
      </c>
      <c r="D47" s="96" t="s">
        <v>68</v>
      </c>
      <c r="E47" s="90"/>
      <c r="F47" s="2" t="s">
        <v>33</v>
      </c>
      <c r="G47" s="19">
        <f>'Rozpočet - vybrané sloupce'!H35</f>
        <v>1.85</v>
      </c>
      <c r="H47" s="19">
        <f>'Rozpočet - vybrané sloupce'!I35</f>
        <v>0</v>
      </c>
      <c r="I47" s="18">
        <v>21</v>
      </c>
      <c r="J47" s="19">
        <f>ROUND(G47*AO47,2)</f>
        <v>0</v>
      </c>
      <c r="K47" s="19">
        <f>ROUND(G47*AP47,2)</f>
        <v>0</v>
      </c>
      <c r="L47" s="19">
        <f>ROUND(G47*H47,2)</f>
        <v>0</v>
      </c>
      <c r="M47" s="19">
        <f>L47*(1+BW47/100)</f>
        <v>0</v>
      </c>
      <c r="N47" s="19">
        <v>0</v>
      </c>
      <c r="O47" s="19">
        <f>G47*N47</f>
        <v>0</v>
      </c>
      <c r="P47" s="50" t="s">
        <v>34</v>
      </c>
      <c r="Z47" s="19">
        <f>ROUND(IF(AQ47="5",BJ47,0),2)</f>
        <v>0</v>
      </c>
      <c r="AB47" s="19">
        <f>ROUND(IF(AQ47="1",BH47,0),2)</f>
        <v>0</v>
      </c>
      <c r="AC47" s="19">
        <f>ROUND(IF(AQ47="1",BI47,0),2)</f>
        <v>0</v>
      </c>
      <c r="AD47" s="19">
        <f>ROUND(IF(AQ47="7",BH47,0),2)</f>
        <v>0</v>
      </c>
      <c r="AE47" s="19">
        <f>ROUND(IF(AQ47="7",BI47,0),2)</f>
        <v>0</v>
      </c>
      <c r="AF47" s="19">
        <f>ROUND(IF(AQ47="2",BH47,0),2)</f>
        <v>0</v>
      </c>
      <c r="AG47" s="19">
        <f>ROUND(IF(AQ47="2",BI47,0),2)</f>
        <v>0</v>
      </c>
      <c r="AH47" s="19">
        <f>ROUND(IF(AQ47="0",BJ47,0),2)</f>
        <v>0</v>
      </c>
      <c r="AI47" s="14" t="s">
        <v>26</v>
      </c>
      <c r="AJ47" s="19">
        <f>IF(AN47=0,L47,0)</f>
        <v>0</v>
      </c>
      <c r="AK47" s="19">
        <f>IF(AN47=12,L47,0)</f>
        <v>0</v>
      </c>
      <c r="AL47" s="19">
        <f>IF(AN47=21,L47,0)</f>
        <v>0</v>
      </c>
      <c r="AN47" s="19">
        <v>21</v>
      </c>
      <c r="AO47" s="19">
        <f>H47*0</f>
        <v>0</v>
      </c>
      <c r="AP47" s="19">
        <f>H47*(1-0)</f>
        <v>0</v>
      </c>
      <c r="AQ47" s="51" t="s">
        <v>88</v>
      </c>
      <c r="AV47" s="19">
        <f>ROUND(AW47+AX47,2)</f>
        <v>0</v>
      </c>
      <c r="AW47" s="19">
        <f>ROUND(G47*AO47,2)</f>
        <v>0</v>
      </c>
      <c r="AX47" s="19">
        <f>ROUND(G47*AP47,2)</f>
        <v>0</v>
      </c>
      <c r="AY47" s="51" t="s">
        <v>185</v>
      </c>
      <c r="AZ47" s="51" t="s">
        <v>180</v>
      </c>
      <c r="BA47" s="14" t="s">
        <v>181</v>
      </c>
      <c r="BC47" s="19">
        <f>AW47+AX47</f>
        <v>0</v>
      </c>
      <c r="BD47" s="19">
        <f>H47/(100-BE47)*100</f>
        <v>0</v>
      </c>
      <c r="BE47" s="19">
        <v>0</v>
      </c>
      <c r="BF47" s="19">
        <f>O47</f>
        <v>0</v>
      </c>
      <c r="BH47" s="19">
        <f>G47*AO47</f>
        <v>0</v>
      </c>
      <c r="BI47" s="19">
        <f>G47*AP47</f>
        <v>0</v>
      </c>
      <c r="BJ47" s="19">
        <f>G47*H47</f>
        <v>0</v>
      </c>
      <c r="BK47" s="51" t="s">
        <v>35</v>
      </c>
      <c r="BL47" s="19">
        <v>18</v>
      </c>
      <c r="BW47" s="19">
        <f>I47</f>
        <v>21</v>
      </c>
      <c r="BX47" s="5" t="s">
        <v>68</v>
      </c>
    </row>
    <row r="48" spans="1:76" ht="13.5" customHeight="1" x14ac:dyDescent="0.25">
      <c r="A48" s="52"/>
      <c r="C48" s="21" t="s">
        <v>182</v>
      </c>
      <c r="D48" s="193" t="s">
        <v>69</v>
      </c>
      <c r="E48" s="194"/>
      <c r="F48" s="194"/>
      <c r="G48" s="194"/>
      <c r="H48" s="194"/>
      <c r="I48" s="194"/>
      <c r="J48" s="194"/>
      <c r="K48" s="194"/>
      <c r="L48" s="194"/>
      <c r="M48" s="194"/>
      <c r="N48" s="194"/>
      <c r="O48" s="194"/>
      <c r="P48" s="195"/>
    </row>
    <row r="49" spans="1:76" ht="13.5" customHeight="1" x14ac:dyDescent="0.25">
      <c r="A49" s="52"/>
      <c r="C49" s="21" t="s">
        <v>40</v>
      </c>
      <c r="D49" s="193" t="s">
        <v>69</v>
      </c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94"/>
      <c r="P49" s="195"/>
    </row>
    <row r="50" spans="1:76" x14ac:dyDescent="0.25">
      <c r="A50" s="47" t="s">
        <v>27</v>
      </c>
      <c r="B50" s="13" t="s">
        <v>26</v>
      </c>
      <c r="C50" s="13" t="s">
        <v>70</v>
      </c>
      <c r="D50" s="98" t="s">
        <v>71</v>
      </c>
      <c r="E50" s="99"/>
      <c r="F50" s="48" t="s">
        <v>25</v>
      </c>
      <c r="G50" s="48" t="s">
        <v>25</v>
      </c>
      <c r="H50" s="48" t="s">
        <v>25</v>
      </c>
      <c r="I50" s="48" t="s">
        <v>25</v>
      </c>
      <c r="J50" s="15">
        <f>SUM(J51:J51)</f>
        <v>0</v>
      </c>
      <c r="K50" s="15">
        <f>SUM(K51:K51)</f>
        <v>0</v>
      </c>
      <c r="L50" s="15">
        <f>SUM(L51:L51)</f>
        <v>0</v>
      </c>
      <c r="M50" s="15">
        <f>SUM(M51:M51)</f>
        <v>0</v>
      </c>
      <c r="N50" s="14" t="s">
        <v>27</v>
      </c>
      <c r="O50" s="15">
        <f>SUM(O51:O51)</f>
        <v>3.0728</v>
      </c>
      <c r="P50" s="49" t="s">
        <v>27</v>
      </c>
      <c r="AI50" s="14" t="s">
        <v>26</v>
      </c>
      <c r="AS50" s="15">
        <f>SUM(AJ51:AJ51)</f>
        <v>0</v>
      </c>
      <c r="AT50" s="15">
        <f>SUM(AK51:AK51)</f>
        <v>0</v>
      </c>
      <c r="AU50" s="15">
        <f>SUM(AL51:AL51)</f>
        <v>0</v>
      </c>
    </row>
    <row r="51" spans="1:76" x14ac:dyDescent="0.25">
      <c r="A51" s="1" t="s">
        <v>193</v>
      </c>
      <c r="B51" s="2" t="s">
        <v>26</v>
      </c>
      <c r="C51" s="2" t="s">
        <v>72</v>
      </c>
      <c r="D51" s="96" t="s">
        <v>73</v>
      </c>
      <c r="E51" s="90"/>
      <c r="F51" s="2" t="s">
        <v>39</v>
      </c>
      <c r="G51" s="19">
        <f>'Rozpočet - vybrané sloupce'!H38</f>
        <v>16.7</v>
      </c>
      <c r="H51" s="19">
        <f>'Rozpočet - vybrané sloupce'!I38</f>
        <v>0</v>
      </c>
      <c r="I51" s="18">
        <v>21</v>
      </c>
      <c r="J51" s="19">
        <f>ROUND(G51*AO51,2)</f>
        <v>0</v>
      </c>
      <c r="K51" s="19">
        <f>ROUND(G51*AP51,2)</f>
        <v>0</v>
      </c>
      <c r="L51" s="19">
        <f>ROUND(G51*H51,2)</f>
        <v>0</v>
      </c>
      <c r="M51" s="19">
        <f>L51*(1+BW51/100)</f>
        <v>0</v>
      </c>
      <c r="N51" s="19">
        <v>0.184</v>
      </c>
      <c r="O51" s="19">
        <f>G51*N51</f>
        <v>3.0728</v>
      </c>
      <c r="P51" s="50" t="s">
        <v>34</v>
      </c>
      <c r="Z51" s="19">
        <f>ROUND(IF(AQ51="5",BJ51,0),2)</f>
        <v>0</v>
      </c>
      <c r="AB51" s="19">
        <f>ROUND(IF(AQ51="1",BH51,0),2)</f>
        <v>0</v>
      </c>
      <c r="AC51" s="19">
        <f>ROUND(IF(AQ51="1",BI51,0),2)</f>
        <v>0</v>
      </c>
      <c r="AD51" s="19">
        <f>ROUND(IF(AQ51="7",BH51,0),2)</f>
        <v>0</v>
      </c>
      <c r="AE51" s="19">
        <f>ROUND(IF(AQ51="7",BI51,0),2)</f>
        <v>0</v>
      </c>
      <c r="AF51" s="19">
        <f>ROUND(IF(AQ51="2",BH51,0),2)</f>
        <v>0</v>
      </c>
      <c r="AG51" s="19">
        <f>ROUND(IF(AQ51="2",BI51,0),2)</f>
        <v>0</v>
      </c>
      <c r="AH51" s="19">
        <f>ROUND(IF(AQ51="0",BJ51,0),2)</f>
        <v>0</v>
      </c>
      <c r="AI51" s="14" t="s">
        <v>26</v>
      </c>
      <c r="AJ51" s="19">
        <f>IF(AN51=0,L51,0)</f>
        <v>0</v>
      </c>
      <c r="AK51" s="19">
        <f>IF(AN51=12,L51,0)</f>
        <v>0</v>
      </c>
      <c r="AL51" s="19">
        <f>IF(AN51=21,L51,0)</f>
        <v>0</v>
      </c>
      <c r="AN51" s="19">
        <v>21</v>
      </c>
      <c r="AO51" s="19">
        <f>H51*0.721363007</f>
        <v>0</v>
      </c>
      <c r="AP51" s="19">
        <f>H51*(1-0.721363007)</f>
        <v>0</v>
      </c>
      <c r="AQ51" s="51" t="s">
        <v>88</v>
      </c>
      <c r="AV51" s="19">
        <f>ROUND(AW51+AX51,2)</f>
        <v>0</v>
      </c>
      <c r="AW51" s="19">
        <f>ROUND(G51*AO51,2)</f>
        <v>0</v>
      </c>
      <c r="AX51" s="19">
        <f>ROUND(G51*AP51,2)</f>
        <v>0</v>
      </c>
      <c r="AY51" s="51" t="s">
        <v>194</v>
      </c>
      <c r="AZ51" s="51" t="s">
        <v>195</v>
      </c>
      <c r="BA51" s="14" t="s">
        <v>181</v>
      </c>
      <c r="BC51" s="19">
        <f>AW51+AX51</f>
        <v>0</v>
      </c>
      <c r="BD51" s="19">
        <f>H51/(100-BE51)*100</f>
        <v>0</v>
      </c>
      <c r="BE51" s="19">
        <v>0</v>
      </c>
      <c r="BF51" s="19">
        <f>O51</f>
        <v>3.0728</v>
      </c>
      <c r="BH51" s="19">
        <f>G51*AO51</f>
        <v>0</v>
      </c>
      <c r="BI51" s="19">
        <f>G51*AP51</f>
        <v>0</v>
      </c>
      <c r="BJ51" s="19">
        <f>G51*H51</f>
        <v>0</v>
      </c>
      <c r="BK51" s="51" t="s">
        <v>35</v>
      </c>
      <c r="BL51" s="19">
        <v>56</v>
      </c>
      <c r="BW51" s="19">
        <f>I51</f>
        <v>21</v>
      </c>
      <c r="BX51" s="5" t="s">
        <v>73</v>
      </c>
    </row>
    <row r="52" spans="1:76" ht="13.5" customHeight="1" x14ac:dyDescent="0.25">
      <c r="A52" s="52"/>
      <c r="C52" s="21" t="s">
        <v>182</v>
      </c>
      <c r="D52" s="193" t="s">
        <v>74</v>
      </c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94"/>
      <c r="P52" s="195"/>
    </row>
    <row r="53" spans="1:76" ht="13.5" customHeight="1" x14ac:dyDescent="0.25">
      <c r="A53" s="52"/>
      <c r="C53" s="21" t="s">
        <v>40</v>
      </c>
      <c r="D53" s="193" t="s">
        <v>74</v>
      </c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194"/>
      <c r="P53" s="195"/>
    </row>
    <row r="54" spans="1:76" x14ac:dyDescent="0.25">
      <c r="A54" s="47" t="s">
        <v>27</v>
      </c>
      <c r="B54" s="13" t="s">
        <v>26</v>
      </c>
      <c r="C54" s="13" t="s">
        <v>75</v>
      </c>
      <c r="D54" s="98" t="s">
        <v>76</v>
      </c>
      <c r="E54" s="99"/>
      <c r="F54" s="48" t="s">
        <v>25</v>
      </c>
      <c r="G54" s="48" t="s">
        <v>25</v>
      </c>
      <c r="H54" s="48" t="s">
        <v>25</v>
      </c>
      <c r="I54" s="48" t="s">
        <v>25</v>
      </c>
      <c r="J54" s="15">
        <f>SUM(J55:J55)</f>
        <v>0</v>
      </c>
      <c r="K54" s="15">
        <f>SUM(K55:K55)</f>
        <v>0</v>
      </c>
      <c r="L54" s="15">
        <f>SUM(L55:L55)</f>
        <v>0</v>
      </c>
      <c r="M54" s="15">
        <f>SUM(M55:M55)</f>
        <v>0</v>
      </c>
      <c r="N54" s="14" t="s">
        <v>27</v>
      </c>
      <c r="O54" s="15">
        <f>SUM(O55:O55)</f>
        <v>16.107150000000001</v>
      </c>
      <c r="P54" s="49" t="s">
        <v>27</v>
      </c>
      <c r="AI54" s="14" t="s">
        <v>26</v>
      </c>
      <c r="AS54" s="15">
        <f>SUM(AJ55:AJ55)</f>
        <v>0</v>
      </c>
      <c r="AT54" s="15">
        <f>SUM(AK55:AK55)</f>
        <v>0</v>
      </c>
      <c r="AU54" s="15">
        <f>SUM(AL55:AL55)</f>
        <v>0</v>
      </c>
    </row>
    <row r="55" spans="1:76" ht="25.5" x14ac:dyDescent="0.25">
      <c r="A55" s="1" t="s">
        <v>196</v>
      </c>
      <c r="B55" s="2" t="s">
        <v>26</v>
      </c>
      <c r="C55" s="2" t="s">
        <v>77</v>
      </c>
      <c r="D55" s="96" t="s">
        <v>78</v>
      </c>
      <c r="E55" s="90"/>
      <c r="F55" s="2" t="s">
        <v>79</v>
      </c>
      <c r="G55" s="19">
        <f>'Rozpočet - vybrané sloupce'!H41</f>
        <v>83.5</v>
      </c>
      <c r="H55" s="19">
        <f>'Rozpočet - vybrané sloupce'!I41</f>
        <v>0</v>
      </c>
      <c r="I55" s="18">
        <v>21</v>
      </c>
      <c r="J55" s="19">
        <f>ROUND(G55*AO55,2)</f>
        <v>0</v>
      </c>
      <c r="K55" s="19">
        <f>ROUND(G55*AP55,2)</f>
        <v>0</v>
      </c>
      <c r="L55" s="19">
        <f>ROUND(G55*H55,2)</f>
        <v>0</v>
      </c>
      <c r="M55" s="19">
        <f>L55*(1+BW55/100)</f>
        <v>0</v>
      </c>
      <c r="N55" s="19">
        <v>0.19289999999999999</v>
      </c>
      <c r="O55" s="19">
        <f>G55*N55</f>
        <v>16.107150000000001</v>
      </c>
      <c r="P55" s="50" t="s">
        <v>34</v>
      </c>
      <c r="Z55" s="19">
        <f>ROUND(IF(AQ55="5",BJ55,0),2)</f>
        <v>0</v>
      </c>
      <c r="AB55" s="19">
        <f>ROUND(IF(AQ55="1",BH55,0),2)</f>
        <v>0</v>
      </c>
      <c r="AC55" s="19">
        <f>ROUND(IF(AQ55="1",BI55,0),2)</f>
        <v>0</v>
      </c>
      <c r="AD55" s="19">
        <f>ROUND(IF(AQ55="7",BH55,0),2)</f>
        <v>0</v>
      </c>
      <c r="AE55" s="19">
        <f>ROUND(IF(AQ55="7",BI55,0),2)</f>
        <v>0</v>
      </c>
      <c r="AF55" s="19">
        <f>ROUND(IF(AQ55="2",BH55,0),2)</f>
        <v>0</v>
      </c>
      <c r="AG55" s="19">
        <f>ROUND(IF(AQ55="2",BI55,0),2)</f>
        <v>0</v>
      </c>
      <c r="AH55" s="19">
        <f>ROUND(IF(AQ55="0",BJ55,0),2)</f>
        <v>0</v>
      </c>
      <c r="AI55" s="14" t="s">
        <v>26</v>
      </c>
      <c r="AJ55" s="19">
        <f>IF(AN55=0,L55,0)</f>
        <v>0</v>
      </c>
      <c r="AK55" s="19">
        <f>IF(AN55=12,L55,0)</f>
        <v>0</v>
      </c>
      <c r="AL55" s="19">
        <f>IF(AN55=21,L55,0)</f>
        <v>0</v>
      </c>
      <c r="AN55" s="19">
        <v>21</v>
      </c>
      <c r="AO55" s="19">
        <f>H55*0.779791542</f>
        <v>0</v>
      </c>
      <c r="AP55" s="19">
        <f>H55*(1-0.779791542)</f>
        <v>0</v>
      </c>
      <c r="AQ55" s="51" t="s">
        <v>88</v>
      </c>
      <c r="AV55" s="19">
        <f>ROUND(AW55+AX55,2)</f>
        <v>0</v>
      </c>
      <c r="AW55" s="19">
        <f>ROUND(G55*AO55,2)</f>
        <v>0</v>
      </c>
      <c r="AX55" s="19">
        <f>ROUND(G55*AP55,2)</f>
        <v>0</v>
      </c>
      <c r="AY55" s="51" t="s">
        <v>197</v>
      </c>
      <c r="AZ55" s="51" t="s">
        <v>198</v>
      </c>
      <c r="BA55" s="14" t="s">
        <v>181</v>
      </c>
      <c r="BC55" s="19">
        <f>AW55+AX55</f>
        <v>0</v>
      </c>
      <c r="BD55" s="19">
        <f>H55/(100-BE55)*100</f>
        <v>0</v>
      </c>
      <c r="BE55" s="19">
        <v>0</v>
      </c>
      <c r="BF55" s="19">
        <f>O55</f>
        <v>16.107150000000001</v>
      </c>
      <c r="BH55" s="19">
        <f>G55*AO55</f>
        <v>0</v>
      </c>
      <c r="BI55" s="19">
        <f>G55*AP55</f>
        <v>0</v>
      </c>
      <c r="BJ55" s="19">
        <f>G55*H55</f>
        <v>0</v>
      </c>
      <c r="BK55" s="51" t="s">
        <v>35</v>
      </c>
      <c r="BL55" s="19">
        <v>91</v>
      </c>
      <c r="BW55" s="19">
        <f>I55</f>
        <v>21</v>
      </c>
      <c r="BX55" s="5" t="s">
        <v>78</v>
      </c>
    </row>
    <row r="56" spans="1:76" ht="27" customHeight="1" x14ac:dyDescent="0.25">
      <c r="A56" s="52"/>
      <c r="C56" s="21" t="s">
        <v>182</v>
      </c>
      <c r="D56" s="193" t="s">
        <v>80</v>
      </c>
      <c r="E56" s="194"/>
      <c r="F56" s="194"/>
      <c r="G56" s="194"/>
      <c r="H56" s="194"/>
      <c r="I56" s="194"/>
      <c r="J56" s="194"/>
      <c r="K56" s="194"/>
      <c r="L56" s="194"/>
      <c r="M56" s="194"/>
      <c r="N56" s="194"/>
      <c r="O56" s="194"/>
      <c r="P56" s="195"/>
    </row>
    <row r="57" spans="1:76" ht="25.5" x14ac:dyDescent="0.25">
      <c r="A57" s="52"/>
      <c r="C57" s="21" t="s">
        <v>81</v>
      </c>
      <c r="D57" s="193" t="s">
        <v>82</v>
      </c>
      <c r="E57" s="194"/>
      <c r="F57" s="194"/>
      <c r="G57" s="194"/>
      <c r="H57" s="194"/>
      <c r="I57" s="194"/>
      <c r="J57" s="194"/>
      <c r="K57" s="194"/>
      <c r="L57" s="194"/>
      <c r="M57" s="194"/>
      <c r="N57" s="194"/>
      <c r="O57" s="194"/>
      <c r="P57" s="195"/>
      <c r="BX57" s="22" t="s">
        <v>82</v>
      </c>
    </row>
    <row r="58" spans="1:76" ht="27" customHeight="1" x14ac:dyDescent="0.25">
      <c r="A58" s="52"/>
      <c r="C58" s="21" t="s">
        <v>40</v>
      </c>
      <c r="D58" s="193" t="s">
        <v>80</v>
      </c>
      <c r="E58" s="194"/>
      <c r="F58" s="194"/>
      <c r="G58" s="194"/>
      <c r="H58" s="194"/>
      <c r="I58" s="194"/>
      <c r="J58" s="194"/>
      <c r="K58" s="194"/>
      <c r="L58" s="194"/>
      <c r="M58" s="194"/>
      <c r="N58" s="194"/>
      <c r="O58" s="194"/>
      <c r="P58" s="195"/>
    </row>
    <row r="59" spans="1:76" x14ac:dyDescent="0.25">
      <c r="A59" s="47" t="s">
        <v>27</v>
      </c>
      <c r="B59" s="13" t="s">
        <v>26</v>
      </c>
      <c r="C59" s="13" t="s">
        <v>83</v>
      </c>
      <c r="D59" s="98" t="s">
        <v>84</v>
      </c>
      <c r="E59" s="99"/>
      <c r="F59" s="48" t="s">
        <v>25</v>
      </c>
      <c r="G59" s="48" t="s">
        <v>25</v>
      </c>
      <c r="H59" s="48" t="s">
        <v>25</v>
      </c>
      <c r="I59" s="48" t="s">
        <v>25</v>
      </c>
      <c r="J59" s="15">
        <f>SUM(J60:J60)</f>
        <v>0</v>
      </c>
      <c r="K59" s="15">
        <f>SUM(K60:K60)</f>
        <v>0</v>
      </c>
      <c r="L59" s="15">
        <f>SUM(L60:L60)</f>
        <v>0</v>
      </c>
      <c r="M59" s="15">
        <f>SUM(M60:M60)</f>
        <v>0</v>
      </c>
      <c r="N59" s="14" t="s">
        <v>27</v>
      </c>
      <c r="O59" s="15">
        <f>SUM(O60:O60)</f>
        <v>0</v>
      </c>
      <c r="P59" s="49" t="s">
        <v>27</v>
      </c>
      <c r="AI59" s="14" t="s">
        <v>26</v>
      </c>
      <c r="AS59" s="15">
        <f>SUM(AJ60:AJ60)</f>
        <v>0</v>
      </c>
      <c r="AT59" s="15">
        <f>SUM(AK60:AK60)</f>
        <v>0</v>
      </c>
      <c r="AU59" s="15">
        <f>SUM(AL60:AL60)</f>
        <v>0</v>
      </c>
    </row>
    <row r="60" spans="1:76" x14ac:dyDescent="0.25">
      <c r="A60" s="1" t="s">
        <v>126</v>
      </c>
      <c r="B60" s="2" t="s">
        <v>26</v>
      </c>
      <c r="C60" s="2" t="s">
        <v>85</v>
      </c>
      <c r="D60" s="96" t="s">
        <v>86</v>
      </c>
      <c r="E60" s="90"/>
      <c r="F60" s="2" t="s">
        <v>87</v>
      </c>
      <c r="G60" s="19">
        <f>'Rozpočet - vybrané sloupce'!H45</f>
        <v>1</v>
      </c>
      <c r="H60" s="19">
        <f>'Rozpočet - vybrané sloupce'!I45</f>
        <v>0</v>
      </c>
      <c r="I60" s="18">
        <v>21</v>
      </c>
      <c r="J60" s="19">
        <f>ROUND(G60*AO60,2)</f>
        <v>0</v>
      </c>
      <c r="K60" s="19">
        <f>ROUND(G60*AP60,2)</f>
        <v>0</v>
      </c>
      <c r="L60" s="19">
        <f>ROUND(G60*H60,2)</f>
        <v>0</v>
      </c>
      <c r="M60" s="19">
        <f>L60*(1+BW60/100)</f>
        <v>0</v>
      </c>
      <c r="N60" s="19">
        <v>0</v>
      </c>
      <c r="O60" s="19">
        <f>G60*N60</f>
        <v>0</v>
      </c>
      <c r="P60" s="50" t="s">
        <v>27</v>
      </c>
      <c r="Z60" s="19">
        <f>ROUND(IF(AQ60="5",BJ60,0),2)</f>
        <v>0</v>
      </c>
      <c r="AB60" s="19">
        <f>ROUND(IF(AQ60="1",BH60,0),2)</f>
        <v>0</v>
      </c>
      <c r="AC60" s="19">
        <f>ROUND(IF(AQ60="1",BI60,0),2)</f>
        <v>0</v>
      </c>
      <c r="AD60" s="19">
        <f>ROUND(IF(AQ60="7",BH60,0),2)</f>
        <v>0</v>
      </c>
      <c r="AE60" s="19">
        <f>ROUND(IF(AQ60="7",BI60,0),2)</f>
        <v>0</v>
      </c>
      <c r="AF60" s="19">
        <f>ROUND(IF(AQ60="2",BH60,0),2)</f>
        <v>0</v>
      </c>
      <c r="AG60" s="19">
        <f>ROUND(IF(AQ60="2",BI60,0),2)</f>
        <v>0</v>
      </c>
      <c r="AH60" s="19">
        <f>ROUND(IF(AQ60="0",BJ60,0),2)</f>
        <v>0</v>
      </c>
      <c r="AI60" s="14" t="s">
        <v>26</v>
      </c>
      <c r="AJ60" s="19">
        <f>IF(AN60=0,L60,0)</f>
        <v>0</v>
      </c>
      <c r="AK60" s="19">
        <f>IF(AN60=12,L60,0)</f>
        <v>0</v>
      </c>
      <c r="AL60" s="19">
        <f>IF(AN60=21,L60,0)</f>
        <v>0</v>
      </c>
      <c r="AN60" s="19">
        <v>21</v>
      </c>
      <c r="AO60" s="19">
        <f>H60*0</f>
        <v>0</v>
      </c>
      <c r="AP60" s="19">
        <f>H60*(1-0)</f>
        <v>0</v>
      </c>
      <c r="AQ60" s="51" t="s">
        <v>187</v>
      </c>
      <c r="AV60" s="19">
        <f>ROUND(AW60+AX60,2)</f>
        <v>0</v>
      </c>
      <c r="AW60" s="19">
        <f>ROUND(G60*AO60,2)</f>
        <v>0</v>
      </c>
      <c r="AX60" s="19">
        <f>ROUND(G60*AP60,2)</f>
        <v>0</v>
      </c>
      <c r="AY60" s="51" t="s">
        <v>199</v>
      </c>
      <c r="AZ60" s="51" t="s">
        <v>198</v>
      </c>
      <c r="BA60" s="14" t="s">
        <v>181</v>
      </c>
      <c r="BC60" s="19">
        <f>AW60+AX60</f>
        <v>0</v>
      </c>
      <c r="BD60" s="19">
        <f>H60/(100-BE60)*100</f>
        <v>0</v>
      </c>
      <c r="BE60" s="19">
        <v>0</v>
      </c>
      <c r="BF60" s="19">
        <f>O60</f>
        <v>0</v>
      </c>
      <c r="BH60" s="19">
        <f>G60*AO60</f>
        <v>0</v>
      </c>
      <c r="BI60" s="19">
        <f>G60*AP60</f>
        <v>0</v>
      </c>
      <c r="BJ60" s="19">
        <f>G60*H60</f>
        <v>0</v>
      </c>
      <c r="BK60" s="51" t="s">
        <v>35</v>
      </c>
      <c r="BL60" s="19"/>
      <c r="BW60" s="19">
        <f>I60</f>
        <v>21</v>
      </c>
      <c r="BX60" s="5" t="s">
        <v>86</v>
      </c>
    </row>
    <row r="61" spans="1:76" ht="13.5" customHeight="1" x14ac:dyDescent="0.25">
      <c r="A61" s="52"/>
      <c r="C61" s="21" t="s">
        <v>182</v>
      </c>
      <c r="D61" s="193" t="s">
        <v>88</v>
      </c>
      <c r="E61" s="194"/>
      <c r="F61" s="194"/>
      <c r="G61" s="194"/>
      <c r="H61" s="194"/>
      <c r="I61" s="194"/>
      <c r="J61" s="194"/>
      <c r="K61" s="194"/>
      <c r="L61" s="194"/>
      <c r="M61" s="194"/>
      <c r="N61" s="194"/>
      <c r="O61" s="194"/>
      <c r="P61" s="195"/>
    </row>
    <row r="62" spans="1:76" ht="13.5" customHeight="1" x14ac:dyDescent="0.25">
      <c r="A62" s="52"/>
      <c r="C62" s="21" t="s">
        <v>40</v>
      </c>
      <c r="D62" s="193" t="s">
        <v>88</v>
      </c>
      <c r="E62" s="194"/>
      <c r="F62" s="194"/>
      <c r="G62" s="194"/>
      <c r="H62" s="194"/>
      <c r="I62" s="194"/>
      <c r="J62" s="194"/>
      <c r="K62" s="194"/>
      <c r="L62" s="194"/>
      <c r="M62" s="194"/>
      <c r="N62" s="194"/>
      <c r="O62" s="194"/>
      <c r="P62" s="195"/>
    </row>
    <row r="63" spans="1:76" x14ac:dyDescent="0.25">
      <c r="A63" s="47" t="s">
        <v>27</v>
      </c>
      <c r="B63" s="13" t="s">
        <v>26</v>
      </c>
      <c r="C63" s="13" t="s">
        <v>89</v>
      </c>
      <c r="D63" s="98" t="s">
        <v>90</v>
      </c>
      <c r="E63" s="99"/>
      <c r="F63" s="48" t="s">
        <v>25</v>
      </c>
      <c r="G63" s="48" t="s">
        <v>25</v>
      </c>
      <c r="H63" s="48" t="s">
        <v>25</v>
      </c>
      <c r="I63" s="48" t="s">
        <v>25</v>
      </c>
      <c r="J63" s="15">
        <f>SUM(J64:J64)</f>
        <v>0</v>
      </c>
      <c r="K63" s="15">
        <f>SUM(K64:K64)</f>
        <v>0</v>
      </c>
      <c r="L63" s="15">
        <f>SUM(L64:L64)</f>
        <v>0</v>
      </c>
      <c r="M63" s="15">
        <f>SUM(M64:M64)</f>
        <v>0</v>
      </c>
      <c r="N63" s="14" t="s">
        <v>27</v>
      </c>
      <c r="O63" s="15">
        <f>SUM(O64:O64)</f>
        <v>0</v>
      </c>
      <c r="P63" s="49" t="s">
        <v>27</v>
      </c>
      <c r="AI63" s="14" t="s">
        <v>26</v>
      </c>
      <c r="AS63" s="15">
        <f>SUM(AJ64:AJ64)</f>
        <v>0</v>
      </c>
      <c r="AT63" s="15">
        <f>SUM(AK64:AK64)</f>
        <v>0</v>
      </c>
      <c r="AU63" s="15">
        <f>SUM(AL64:AL64)</f>
        <v>0</v>
      </c>
    </row>
    <row r="64" spans="1:76" x14ac:dyDescent="0.25">
      <c r="A64" s="1" t="s">
        <v>200</v>
      </c>
      <c r="B64" s="2" t="s">
        <v>26</v>
      </c>
      <c r="C64" s="2" t="s">
        <v>91</v>
      </c>
      <c r="D64" s="96" t="s">
        <v>92</v>
      </c>
      <c r="E64" s="90"/>
      <c r="F64" s="2" t="s">
        <v>33</v>
      </c>
      <c r="G64" s="19">
        <f>'Rozpočet - vybrané sloupce'!H48</f>
        <v>72.599999999999994</v>
      </c>
      <c r="H64" s="19">
        <f>'Rozpočet - vybrané sloupce'!I48</f>
        <v>0</v>
      </c>
      <c r="I64" s="18">
        <v>21</v>
      </c>
      <c r="J64" s="19">
        <f>ROUND(G64*AO64,2)</f>
        <v>0</v>
      </c>
      <c r="K64" s="19">
        <f>ROUND(G64*AP64,2)</f>
        <v>0</v>
      </c>
      <c r="L64" s="19">
        <f>ROUND(G64*H64,2)</f>
        <v>0</v>
      </c>
      <c r="M64" s="19">
        <f>L64*(1+BW64/100)</f>
        <v>0</v>
      </c>
      <c r="N64" s="19">
        <v>0</v>
      </c>
      <c r="O64" s="19">
        <f>G64*N64</f>
        <v>0</v>
      </c>
      <c r="P64" s="50" t="s">
        <v>34</v>
      </c>
      <c r="Z64" s="19">
        <f>ROUND(IF(AQ64="5",BJ64,0),2)</f>
        <v>0</v>
      </c>
      <c r="AB64" s="19">
        <f>ROUND(IF(AQ64="1",BH64,0),2)</f>
        <v>0</v>
      </c>
      <c r="AC64" s="19">
        <f>ROUND(IF(AQ64="1",BI64,0),2)</f>
        <v>0</v>
      </c>
      <c r="AD64" s="19">
        <f>ROUND(IF(AQ64="7",BH64,0),2)</f>
        <v>0</v>
      </c>
      <c r="AE64" s="19">
        <f>ROUND(IF(AQ64="7",BI64,0),2)</f>
        <v>0</v>
      </c>
      <c r="AF64" s="19">
        <f>ROUND(IF(AQ64="2",BH64,0),2)</f>
        <v>0</v>
      </c>
      <c r="AG64" s="19">
        <f>ROUND(IF(AQ64="2",BI64,0),2)</f>
        <v>0</v>
      </c>
      <c r="AH64" s="19">
        <f>ROUND(IF(AQ64="0",BJ64,0),2)</f>
        <v>0</v>
      </c>
      <c r="AI64" s="14" t="s">
        <v>26</v>
      </c>
      <c r="AJ64" s="19">
        <f>IF(AN64=0,L64,0)</f>
        <v>0</v>
      </c>
      <c r="AK64" s="19">
        <f>IF(AN64=12,L64,0)</f>
        <v>0</v>
      </c>
      <c r="AL64" s="19">
        <f>IF(AN64=21,L64,0)</f>
        <v>0</v>
      </c>
      <c r="AN64" s="19">
        <v>21</v>
      </c>
      <c r="AO64" s="19">
        <f>H64*0</f>
        <v>0</v>
      </c>
      <c r="AP64" s="19">
        <f>H64*(1-0)</f>
        <v>0</v>
      </c>
      <c r="AQ64" s="51" t="s">
        <v>184</v>
      </c>
      <c r="AV64" s="19">
        <f>ROUND(AW64+AX64,2)</f>
        <v>0</v>
      </c>
      <c r="AW64" s="19">
        <f>ROUND(G64*AO64,2)</f>
        <v>0</v>
      </c>
      <c r="AX64" s="19">
        <f>ROUND(G64*AP64,2)</f>
        <v>0</v>
      </c>
      <c r="AY64" s="51" t="s">
        <v>201</v>
      </c>
      <c r="AZ64" s="51" t="s">
        <v>198</v>
      </c>
      <c r="BA64" s="14" t="s">
        <v>181</v>
      </c>
      <c r="BC64" s="19">
        <f>AW64+AX64</f>
        <v>0</v>
      </c>
      <c r="BD64" s="19">
        <f>H64/(100-BE64)*100</f>
        <v>0</v>
      </c>
      <c r="BE64" s="19">
        <v>0</v>
      </c>
      <c r="BF64" s="19">
        <f>O64</f>
        <v>0</v>
      </c>
      <c r="BH64" s="19">
        <f>G64*AO64</f>
        <v>0</v>
      </c>
      <c r="BI64" s="19">
        <f>G64*AP64</f>
        <v>0</v>
      </c>
      <c r="BJ64" s="19">
        <f>G64*H64</f>
        <v>0</v>
      </c>
      <c r="BK64" s="51" t="s">
        <v>35</v>
      </c>
      <c r="BL64" s="19"/>
      <c r="BW64" s="19">
        <f>I64</f>
        <v>21</v>
      </c>
      <c r="BX64" s="5" t="s">
        <v>92</v>
      </c>
    </row>
    <row r="65" spans="1:76" ht="13.5" customHeight="1" x14ac:dyDescent="0.25">
      <c r="A65" s="52"/>
      <c r="C65" s="21" t="s">
        <v>182</v>
      </c>
      <c r="D65" s="193" t="s">
        <v>93</v>
      </c>
      <c r="E65" s="194"/>
      <c r="F65" s="194"/>
      <c r="G65" s="194"/>
      <c r="H65" s="194"/>
      <c r="I65" s="194"/>
      <c r="J65" s="194"/>
      <c r="K65" s="194"/>
      <c r="L65" s="194"/>
      <c r="M65" s="194"/>
      <c r="N65" s="194"/>
      <c r="O65" s="194"/>
      <c r="P65" s="195"/>
    </row>
    <row r="66" spans="1:76" ht="13.5" customHeight="1" x14ac:dyDescent="0.25">
      <c r="A66" s="52"/>
      <c r="C66" s="21" t="s">
        <v>40</v>
      </c>
      <c r="D66" s="193" t="s">
        <v>93</v>
      </c>
      <c r="E66" s="194"/>
      <c r="F66" s="194"/>
      <c r="G66" s="194"/>
      <c r="H66" s="194"/>
      <c r="I66" s="194"/>
      <c r="J66" s="194"/>
      <c r="K66" s="194"/>
      <c r="L66" s="194"/>
      <c r="M66" s="194"/>
      <c r="N66" s="194"/>
      <c r="O66" s="194"/>
      <c r="P66" s="195"/>
    </row>
    <row r="67" spans="1:76" x14ac:dyDescent="0.25">
      <c r="A67" s="47" t="s">
        <v>27</v>
      </c>
      <c r="B67" s="13" t="s">
        <v>26</v>
      </c>
      <c r="C67" s="13" t="s">
        <v>94</v>
      </c>
      <c r="D67" s="98" t="s">
        <v>95</v>
      </c>
      <c r="E67" s="99"/>
      <c r="F67" s="48" t="s">
        <v>25</v>
      </c>
      <c r="G67" s="48" t="s">
        <v>25</v>
      </c>
      <c r="H67" s="48" t="s">
        <v>25</v>
      </c>
      <c r="I67" s="48" t="s">
        <v>25</v>
      </c>
      <c r="J67" s="15">
        <f>SUM(J68:J68)</f>
        <v>0</v>
      </c>
      <c r="K67" s="15">
        <f>SUM(K68:K68)</f>
        <v>0</v>
      </c>
      <c r="L67" s="15">
        <f>SUM(L68:L68)</f>
        <v>0</v>
      </c>
      <c r="M67" s="15">
        <f>SUM(M68:M68)</f>
        <v>0</v>
      </c>
      <c r="N67" s="14" t="s">
        <v>27</v>
      </c>
      <c r="O67" s="15">
        <f>SUM(O68:O68)</f>
        <v>0</v>
      </c>
      <c r="P67" s="49" t="s">
        <v>27</v>
      </c>
      <c r="AI67" s="14" t="s">
        <v>26</v>
      </c>
      <c r="AS67" s="15">
        <f>SUM(AJ68:AJ68)</f>
        <v>0</v>
      </c>
      <c r="AT67" s="15">
        <f>SUM(AK68:AK68)</f>
        <v>0</v>
      </c>
      <c r="AU67" s="15">
        <f>SUM(AL68:AL68)</f>
        <v>0</v>
      </c>
    </row>
    <row r="68" spans="1:76" x14ac:dyDescent="0.25">
      <c r="A68" s="1" t="s">
        <v>202</v>
      </c>
      <c r="B68" s="2" t="s">
        <v>26</v>
      </c>
      <c r="C68" s="2" t="s">
        <v>96</v>
      </c>
      <c r="D68" s="96" t="s">
        <v>97</v>
      </c>
      <c r="E68" s="90"/>
      <c r="F68" s="2" t="s">
        <v>98</v>
      </c>
      <c r="G68" s="19">
        <f>'Rozpočet - vybrané sloupce'!H51</f>
        <v>130.68</v>
      </c>
      <c r="H68" s="19">
        <f>'Rozpočet - vybrané sloupce'!I51</f>
        <v>0</v>
      </c>
      <c r="I68" s="18">
        <v>21</v>
      </c>
      <c r="J68" s="19">
        <f>ROUND(G68*AO68,2)</f>
        <v>0</v>
      </c>
      <c r="K68" s="19">
        <f>ROUND(G68*AP68,2)</f>
        <v>0</v>
      </c>
      <c r="L68" s="19">
        <f>ROUND(G68*H68,2)</f>
        <v>0</v>
      </c>
      <c r="M68" s="19">
        <f>L68*(1+BW68/100)</f>
        <v>0</v>
      </c>
      <c r="N68" s="19">
        <v>0</v>
      </c>
      <c r="O68" s="19">
        <f>G68*N68</f>
        <v>0</v>
      </c>
      <c r="P68" s="50" t="s">
        <v>34</v>
      </c>
      <c r="Z68" s="19">
        <f>ROUND(IF(AQ68="5",BJ68,0),2)</f>
        <v>0</v>
      </c>
      <c r="AB68" s="19">
        <f>ROUND(IF(AQ68="1",BH68,0),2)</f>
        <v>0</v>
      </c>
      <c r="AC68" s="19">
        <f>ROUND(IF(AQ68="1",BI68,0),2)</f>
        <v>0</v>
      </c>
      <c r="AD68" s="19">
        <f>ROUND(IF(AQ68="7",BH68,0),2)</f>
        <v>0</v>
      </c>
      <c r="AE68" s="19">
        <f>ROUND(IF(AQ68="7",BI68,0),2)</f>
        <v>0</v>
      </c>
      <c r="AF68" s="19">
        <f>ROUND(IF(AQ68="2",BH68,0),2)</f>
        <v>0</v>
      </c>
      <c r="AG68" s="19">
        <f>ROUND(IF(AQ68="2",BI68,0),2)</f>
        <v>0</v>
      </c>
      <c r="AH68" s="19">
        <f>ROUND(IF(AQ68="0",BJ68,0),2)</f>
        <v>0</v>
      </c>
      <c r="AI68" s="14" t="s">
        <v>26</v>
      </c>
      <c r="AJ68" s="19">
        <f>IF(AN68=0,L68,0)</f>
        <v>0</v>
      </c>
      <c r="AK68" s="19">
        <f>IF(AN68=12,L68,0)</f>
        <v>0</v>
      </c>
      <c r="AL68" s="19">
        <f>IF(AN68=21,L68,0)</f>
        <v>0</v>
      </c>
      <c r="AN68" s="19">
        <v>21</v>
      </c>
      <c r="AO68" s="19">
        <f>H68*0</f>
        <v>0</v>
      </c>
      <c r="AP68" s="19">
        <f>H68*(1-0)</f>
        <v>0</v>
      </c>
      <c r="AQ68" s="51" t="s">
        <v>187</v>
      </c>
      <c r="AV68" s="19">
        <f>ROUND(AW68+AX68,2)</f>
        <v>0</v>
      </c>
      <c r="AW68" s="19">
        <f>ROUND(G68*AO68,2)</f>
        <v>0</v>
      </c>
      <c r="AX68" s="19">
        <f>ROUND(G68*AP68,2)</f>
        <v>0</v>
      </c>
      <c r="AY68" s="51" t="s">
        <v>203</v>
      </c>
      <c r="AZ68" s="51" t="s">
        <v>198</v>
      </c>
      <c r="BA68" s="14" t="s">
        <v>181</v>
      </c>
      <c r="BC68" s="19">
        <f>AW68+AX68</f>
        <v>0</v>
      </c>
      <c r="BD68" s="19">
        <f>H68/(100-BE68)*100</f>
        <v>0</v>
      </c>
      <c r="BE68" s="19">
        <v>0</v>
      </c>
      <c r="BF68" s="19">
        <f>O68</f>
        <v>0</v>
      </c>
      <c r="BH68" s="19">
        <f>G68*AO68</f>
        <v>0</v>
      </c>
      <c r="BI68" s="19">
        <f>G68*AP68</f>
        <v>0</v>
      </c>
      <c r="BJ68" s="19">
        <f>G68*H68</f>
        <v>0</v>
      </c>
      <c r="BK68" s="51" t="s">
        <v>35</v>
      </c>
      <c r="BL68" s="19"/>
      <c r="BW68" s="19">
        <f>I68</f>
        <v>21</v>
      </c>
      <c r="BX68" s="5" t="s">
        <v>97</v>
      </c>
    </row>
    <row r="69" spans="1:76" ht="13.5" customHeight="1" x14ac:dyDescent="0.25">
      <c r="A69" s="52"/>
      <c r="C69" s="21" t="s">
        <v>182</v>
      </c>
      <c r="D69" s="193" t="s">
        <v>99</v>
      </c>
      <c r="E69" s="194"/>
      <c r="F69" s="194"/>
      <c r="G69" s="194"/>
      <c r="H69" s="194"/>
      <c r="I69" s="194"/>
      <c r="J69" s="194"/>
      <c r="K69" s="194"/>
      <c r="L69" s="194"/>
      <c r="M69" s="194"/>
      <c r="N69" s="194"/>
      <c r="O69" s="194"/>
      <c r="P69" s="195"/>
    </row>
    <row r="70" spans="1:76" ht="25.5" x14ac:dyDescent="0.25">
      <c r="A70" s="52"/>
      <c r="C70" s="21" t="s">
        <v>81</v>
      </c>
      <c r="D70" s="193" t="s">
        <v>100</v>
      </c>
      <c r="E70" s="194"/>
      <c r="F70" s="194"/>
      <c r="G70" s="194"/>
      <c r="H70" s="194"/>
      <c r="I70" s="194"/>
      <c r="J70" s="194"/>
      <c r="K70" s="194"/>
      <c r="L70" s="194"/>
      <c r="M70" s="194"/>
      <c r="N70" s="194"/>
      <c r="O70" s="194"/>
      <c r="P70" s="195"/>
      <c r="BX70" s="22" t="s">
        <v>100</v>
      </c>
    </row>
    <row r="71" spans="1:76" ht="13.5" customHeight="1" x14ac:dyDescent="0.25">
      <c r="A71" s="52"/>
      <c r="C71" s="21" t="s">
        <v>40</v>
      </c>
      <c r="D71" s="193" t="s">
        <v>99</v>
      </c>
      <c r="E71" s="194"/>
      <c r="F71" s="194"/>
      <c r="G71" s="194"/>
      <c r="H71" s="194"/>
      <c r="I71" s="194"/>
      <c r="J71" s="194"/>
      <c r="K71" s="194"/>
      <c r="L71" s="194"/>
      <c r="M71" s="194"/>
      <c r="N71" s="194"/>
      <c r="O71" s="194"/>
      <c r="P71" s="195"/>
    </row>
    <row r="72" spans="1:76" x14ac:dyDescent="0.25">
      <c r="A72" s="47" t="s">
        <v>27</v>
      </c>
      <c r="B72" s="13" t="s">
        <v>26</v>
      </c>
      <c r="C72" s="13" t="s">
        <v>101</v>
      </c>
      <c r="D72" s="98" t="s">
        <v>102</v>
      </c>
      <c r="E72" s="99"/>
      <c r="F72" s="48" t="s">
        <v>25</v>
      </c>
      <c r="G72" s="48" t="s">
        <v>25</v>
      </c>
      <c r="H72" s="48" t="s">
        <v>25</v>
      </c>
      <c r="I72" s="48" t="s">
        <v>25</v>
      </c>
      <c r="J72" s="15">
        <f>SUM(J73:J88)</f>
        <v>0</v>
      </c>
      <c r="K72" s="15">
        <f>SUM(K73:K88)</f>
        <v>0</v>
      </c>
      <c r="L72" s="15">
        <f>SUM(L73:L88)</f>
        <v>0</v>
      </c>
      <c r="M72" s="15">
        <f>SUM(M73:M88)</f>
        <v>0</v>
      </c>
      <c r="N72" s="14" t="s">
        <v>27</v>
      </c>
      <c r="O72" s="15">
        <f>SUM(O73:O88)</f>
        <v>20.729000000000003</v>
      </c>
      <c r="P72" s="49" t="s">
        <v>27</v>
      </c>
      <c r="AI72" s="14" t="s">
        <v>26</v>
      </c>
      <c r="AS72" s="15">
        <f>SUM(AJ73:AJ88)</f>
        <v>0</v>
      </c>
      <c r="AT72" s="15">
        <f>SUM(AK73:AK88)</f>
        <v>0</v>
      </c>
      <c r="AU72" s="15">
        <f>SUM(AL73:AL88)</f>
        <v>0</v>
      </c>
    </row>
    <row r="73" spans="1:76" x14ac:dyDescent="0.25">
      <c r="A73" s="1" t="s">
        <v>36</v>
      </c>
      <c r="B73" s="2" t="s">
        <v>26</v>
      </c>
      <c r="C73" s="2" t="s">
        <v>103</v>
      </c>
      <c r="D73" s="96" t="s">
        <v>104</v>
      </c>
      <c r="E73" s="90"/>
      <c r="F73" s="2" t="s">
        <v>98</v>
      </c>
      <c r="G73" s="19">
        <f>'Rozpočet - vybrané sloupce'!H55</f>
        <v>18.600000000000001</v>
      </c>
      <c r="H73" s="19">
        <f>'Rozpočet - vybrané sloupce'!I55</f>
        <v>0</v>
      </c>
      <c r="I73" s="18">
        <v>21</v>
      </c>
      <c r="J73" s="19">
        <f>ROUND(G73*AO73,2)</f>
        <v>0</v>
      </c>
      <c r="K73" s="19">
        <f>ROUND(G73*AP73,2)</f>
        <v>0</v>
      </c>
      <c r="L73" s="19">
        <f>ROUND(G73*H73,2)</f>
        <v>0</v>
      </c>
      <c r="M73" s="19">
        <f>L73*(1+BW73/100)</f>
        <v>0</v>
      </c>
      <c r="N73" s="19">
        <v>1</v>
      </c>
      <c r="O73" s="19">
        <f>G73*N73</f>
        <v>18.600000000000001</v>
      </c>
      <c r="P73" s="50" t="s">
        <v>34</v>
      </c>
      <c r="Z73" s="19">
        <f>ROUND(IF(AQ73="5",BJ73,0),2)</f>
        <v>0</v>
      </c>
      <c r="AB73" s="19">
        <f>ROUND(IF(AQ73="1",BH73,0),2)</f>
        <v>0</v>
      </c>
      <c r="AC73" s="19">
        <f>ROUND(IF(AQ73="1",BI73,0),2)</f>
        <v>0</v>
      </c>
      <c r="AD73" s="19">
        <f>ROUND(IF(AQ73="7",BH73,0),2)</f>
        <v>0</v>
      </c>
      <c r="AE73" s="19">
        <f>ROUND(IF(AQ73="7",BI73,0),2)</f>
        <v>0</v>
      </c>
      <c r="AF73" s="19">
        <f>ROUND(IF(AQ73="2",BH73,0),2)</f>
        <v>0</v>
      </c>
      <c r="AG73" s="19">
        <f>ROUND(IF(AQ73="2",BI73,0),2)</f>
        <v>0</v>
      </c>
      <c r="AH73" s="19">
        <f>ROUND(IF(AQ73="0",BJ73,0),2)</f>
        <v>0</v>
      </c>
      <c r="AI73" s="14" t="s">
        <v>26</v>
      </c>
      <c r="AJ73" s="19">
        <f>IF(AN73=0,L73,0)</f>
        <v>0</v>
      </c>
      <c r="AK73" s="19">
        <f>IF(AN73=12,L73,0)</f>
        <v>0</v>
      </c>
      <c r="AL73" s="19">
        <f>IF(AN73=21,L73,0)</f>
        <v>0</v>
      </c>
      <c r="AN73" s="19">
        <v>21</v>
      </c>
      <c r="AO73" s="19">
        <f>H73*1</f>
        <v>0</v>
      </c>
      <c r="AP73" s="19">
        <f>H73*(1-1)</f>
        <v>0</v>
      </c>
      <c r="AQ73" s="51" t="s">
        <v>204</v>
      </c>
      <c r="AV73" s="19">
        <f>ROUND(AW73+AX73,2)</f>
        <v>0</v>
      </c>
      <c r="AW73" s="19">
        <f>ROUND(G73*AO73,2)</f>
        <v>0</v>
      </c>
      <c r="AX73" s="19">
        <f>ROUND(G73*AP73,2)</f>
        <v>0</v>
      </c>
      <c r="AY73" s="51" t="s">
        <v>205</v>
      </c>
      <c r="AZ73" s="51" t="s">
        <v>206</v>
      </c>
      <c r="BA73" s="14" t="s">
        <v>181</v>
      </c>
      <c r="BC73" s="19">
        <f>AW73+AX73</f>
        <v>0</v>
      </c>
      <c r="BD73" s="19">
        <f>H73/(100-BE73)*100</f>
        <v>0</v>
      </c>
      <c r="BE73" s="19">
        <v>0</v>
      </c>
      <c r="BF73" s="19">
        <f>O73</f>
        <v>18.600000000000001</v>
      </c>
      <c r="BH73" s="19">
        <f>G73*AO73</f>
        <v>0</v>
      </c>
      <c r="BI73" s="19">
        <f>G73*AP73</f>
        <v>0</v>
      </c>
      <c r="BJ73" s="19">
        <f>G73*H73</f>
        <v>0</v>
      </c>
      <c r="BK73" s="51" t="s">
        <v>101</v>
      </c>
      <c r="BL73" s="19"/>
      <c r="BW73" s="19">
        <f>I73</f>
        <v>21</v>
      </c>
      <c r="BX73" s="5" t="s">
        <v>104</v>
      </c>
    </row>
    <row r="74" spans="1:76" x14ac:dyDescent="0.25">
      <c r="A74" s="52"/>
      <c r="C74" s="21" t="s">
        <v>81</v>
      </c>
      <c r="D74" s="193" t="s">
        <v>107</v>
      </c>
      <c r="E74" s="194"/>
      <c r="F74" s="194"/>
      <c r="G74" s="194"/>
      <c r="H74" s="194"/>
      <c r="I74" s="194"/>
      <c r="J74" s="194"/>
      <c r="K74" s="194"/>
      <c r="L74" s="194"/>
      <c r="M74" s="194"/>
      <c r="N74" s="194"/>
      <c r="O74" s="194"/>
      <c r="P74" s="195"/>
      <c r="BX74" s="22" t="s">
        <v>107</v>
      </c>
    </row>
    <row r="75" spans="1:76" ht="13.5" customHeight="1" x14ac:dyDescent="0.25">
      <c r="A75" s="52"/>
      <c r="C75" s="21" t="s">
        <v>40</v>
      </c>
      <c r="D75" s="193" t="s">
        <v>106</v>
      </c>
      <c r="E75" s="194"/>
      <c r="F75" s="194"/>
      <c r="G75" s="194"/>
      <c r="H75" s="194"/>
      <c r="I75" s="194"/>
      <c r="J75" s="194"/>
      <c r="K75" s="194"/>
      <c r="L75" s="194"/>
      <c r="M75" s="194"/>
      <c r="N75" s="194"/>
      <c r="O75" s="194"/>
      <c r="P75" s="195"/>
    </row>
    <row r="76" spans="1:76" x14ac:dyDescent="0.25">
      <c r="A76" s="1" t="s">
        <v>207</v>
      </c>
      <c r="B76" s="2" t="s">
        <v>26</v>
      </c>
      <c r="C76" s="2" t="s">
        <v>108</v>
      </c>
      <c r="D76" s="96" t="s">
        <v>109</v>
      </c>
      <c r="E76" s="90"/>
      <c r="F76" s="2" t="s">
        <v>110</v>
      </c>
      <c r="G76" s="19">
        <f>'Rozpočet - vybrané sloupce'!H58</f>
        <v>9</v>
      </c>
      <c r="H76" s="19">
        <f>'Rozpočet - vybrané sloupce'!I58</f>
        <v>0</v>
      </c>
      <c r="I76" s="18">
        <v>21</v>
      </c>
      <c r="J76" s="19">
        <f>ROUND(G76*AO76,2)</f>
        <v>0</v>
      </c>
      <c r="K76" s="19">
        <f>ROUND(G76*AP76,2)</f>
        <v>0</v>
      </c>
      <c r="L76" s="19">
        <f>ROUND(G76*H76,2)</f>
        <v>0</v>
      </c>
      <c r="M76" s="19">
        <f>L76*(1+BW76/100)</f>
        <v>0</v>
      </c>
      <c r="N76" s="19">
        <v>4.0000000000000001E-3</v>
      </c>
      <c r="O76" s="19">
        <f>G76*N76</f>
        <v>3.6000000000000004E-2</v>
      </c>
      <c r="P76" s="50" t="s">
        <v>27</v>
      </c>
      <c r="Z76" s="19">
        <f>ROUND(IF(AQ76="5",BJ76,0),2)</f>
        <v>0</v>
      </c>
      <c r="AB76" s="19">
        <f>ROUND(IF(AQ76="1",BH76,0),2)</f>
        <v>0</v>
      </c>
      <c r="AC76" s="19">
        <f>ROUND(IF(AQ76="1",BI76,0),2)</f>
        <v>0</v>
      </c>
      <c r="AD76" s="19">
        <f>ROUND(IF(AQ76="7",BH76,0),2)</f>
        <v>0</v>
      </c>
      <c r="AE76" s="19">
        <f>ROUND(IF(AQ76="7",BI76,0),2)</f>
        <v>0</v>
      </c>
      <c r="AF76" s="19">
        <f>ROUND(IF(AQ76="2",BH76,0),2)</f>
        <v>0</v>
      </c>
      <c r="AG76" s="19">
        <f>ROUND(IF(AQ76="2",BI76,0),2)</f>
        <v>0</v>
      </c>
      <c r="AH76" s="19">
        <f>ROUND(IF(AQ76="0",BJ76,0),2)</f>
        <v>0</v>
      </c>
      <c r="AI76" s="14" t="s">
        <v>26</v>
      </c>
      <c r="AJ76" s="19">
        <f>IF(AN76=0,L76,0)</f>
        <v>0</v>
      </c>
      <c r="AK76" s="19">
        <f>IF(AN76=12,L76,0)</f>
        <v>0</v>
      </c>
      <c r="AL76" s="19">
        <f>IF(AN76=21,L76,0)</f>
        <v>0</v>
      </c>
      <c r="AN76" s="19">
        <v>21</v>
      </c>
      <c r="AO76" s="19">
        <f>H76*1</f>
        <v>0</v>
      </c>
      <c r="AP76" s="19">
        <f>H76*(1-1)</f>
        <v>0</v>
      </c>
      <c r="AQ76" s="51" t="s">
        <v>204</v>
      </c>
      <c r="AV76" s="19">
        <f>ROUND(AW76+AX76,2)</f>
        <v>0</v>
      </c>
      <c r="AW76" s="19">
        <f>ROUND(G76*AO76,2)</f>
        <v>0</v>
      </c>
      <c r="AX76" s="19">
        <f>ROUND(G76*AP76,2)</f>
        <v>0</v>
      </c>
      <c r="AY76" s="51" t="s">
        <v>205</v>
      </c>
      <c r="AZ76" s="51" t="s">
        <v>206</v>
      </c>
      <c r="BA76" s="14" t="s">
        <v>181</v>
      </c>
      <c r="BC76" s="19">
        <f>AW76+AX76</f>
        <v>0</v>
      </c>
      <c r="BD76" s="19">
        <f>H76/(100-BE76)*100</f>
        <v>0</v>
      </c>
      <c r="BE76" s="19">
        <v>0</v>
      </c>
      <c r="BF76" s="19">
        <f>O76</f>
        <v>3.6000000000000004E-2</v>
      </c>
      <c r="BH76" s="19">
        <f>G76*AO76</f>
        <v>0</v>
      </c>
      <c r="BI76" s="19">
        <f>G76*AP76</f>
        <v>0</v>
      </c>
      <c r="BJ76" s="19">
        <f>G76*H76</f>
        <v>0</v>
      </c>
      <c r="BK76" s="51" t="s">
        <v>101</v>
      </c>
      <c r="BL76" s="19"/>
      <c r="BW76" s="19">
        <f>I76</f>
        <v>21</v>
      </c>
      <c r="BX76" s="5" t="s">
        <v>109</v>
      </c>
    </row>
    <row r="77" spans="1:76" ht="13.5" customHeight="1" x14ac:dyDescent="0.25">
      <c r="A77" s="52"/>
      <c r="C77" s="21" t="s">
        <v>40</v>
      </c>
      <c r="D77" s="193" t="s">
        <v>111</v>
      </c>
      <c r="E77" s="194"/>
      <c r="F77" s="194"/>
      <c r="G77" s="194"/>
      <c r="H77" s="194"/>
      <c r="I77" s="194"/>
      <c r="J77" s="194"/>
      <c r="K77" s="194"/>
      <c r="L77" s="194"/>
      <c r="M77" s="194"/>
      <c r="N77" s="194"/>
      <c r="O77" s="194"/>
      <c r="P77" s="195"/>
    </row>
    <row r="78" spans="1:76" x14ac:dyDescent="0.25">
      <c r="A78" s="1" t="s">
        <v>208</v>
      </c>
      <c r="B78" s="2" t="s">
        <v>26</v>
      </c>
      <c r="C78" s="2" t="s">
        <v>112</v>
      </c>
      <c r="D78" s="96" t="s">
        <v>113</v>
      </c>
      <c r="E78" s="90"/>
      <c r="F78" s="2" t="s">
        <v>110</v>
      </c>
      <c r="G78" s="19">
        <f>'Rozpočet - vybrané sloupce'!H60</f>
        <v>36</v>
      </c>
      <c r="H78" s="19">
        <f>'Rozpočet - vybrané sloupce'!I60</f>
        <v>0</v>
      </c>
      <c r="I78" s="18">
        <v>21</v>
      </c>
      <c r="J78" s="19">
        <f>ROUND(G78*AO78,2)</f>
        <v>0</v>
      </c>
      <c r="K78" s="19">
        <f>ROUND(G78*AP78,2)</f>
        <v>0</v>
      </c>
      <c r="L78" s="19">
        <f>ROUND(G78*H78,2)</f>
        <v>0</v>
      </c>
      <c r="M78" s="19">
        <f>L78*(1+BW78/100)</f>
        <v>0</v>
      </c>
      <c r="N78" s="19">
        <v>5.0000000000000001E-4</v>
      </c>
      <c r="O78" s="19">
        <f>G78*N78</f>
        <v>1.8000000000000002E-2</v>
      </c>
      <c r="P78" s="50" t="s">
        <v>27</v>
      </c>
      <c r="Z78" s="19">
        <f>ROUND(IF(AQ78="5",BJ78,0),2)</f>
        <v>0</v>
      </c>
      <c r="AB78" s="19">
        <f>ROUND(IF(AQ78="1",BH78,0),2)</f>
        <v>0</v>
      </c>
      <c r="AC78" s="19">
        <f>ROUND(IF(AQ78="1",BI78,0),2)</f>
        <v>0</v>
      </c>
      <c r="AD78" s="19">
        <f>ROUND(IF(AQ78="7",BH78,0),2)</f>
        <v>0</v>
      </c>
      <c r="AE78" s="19">
        <f>ROUND(IF(AQ78="7",BI78,0),2)</f>
        <v>0</v>
      </c>
      <c r="AF78" s="19">
        <f>ROUND(IF(AQ78="2",BH78,0),2)</f>
        <v>0</v>
      </c>
      <c r="AG78" s="19">
        <f>ROUND(IF(AQ78="2",BI78,0),2)</f>
        <v>0</v>
      </c>
      <c r="AH78" s="19">
        <f>ROUND(IF(AQ78="0",BJ78,0),2)</f>
        <v>0</v>
      </c>
      <c r="AI78" s="14" t="s">
        <v>26</v>
      </c>
      <c r="AJ78" s="19">
        <f>IF(AN78=0,L78,0)</f>
        <v>0</v>
      </c>
      <c r="AK78" s="19">
        <f>IF(AN78=12,L78,0)</f>
        <v>0</v>
      </c>
      <c r="AL78" s="19">
        <f>IF(AN78=21,L78,0)</f>
        <v>0</v>
      </c>
      <c r="AN78" s="19">
        <v>21</v>
      </c>
      <c r="AO78" s="19">
        <f>H78*1</f>
        <v>0</v>
      </c>
      <c r="AP78" s="19">
        <f>H78*(1-1)</f>
        <v>0</v>
      </c>
      <c r="AQ78" s="51" t="s">
        <v>204</v>
      </c>
      <c r="AV78" s="19">
        <f>ROUND(AW78+AX78,2)</f>
        <v>0</v>
      </c>
      <c r="AW78" s="19">
        <f>ROUND(G78*AO78,2)</f>
        <v>0</v>
      </c>
      <c r="AX78" s="19">
        <f>ROUND(G78*AP78,2)</f>
        <v>0</v>
      </c>
      <c r="AY78" s="51" t="s">
        <v>205</v>
      </c>
      <c r="AZ78" s="51" t="s">
        <v>206</v>
      </c>
      <c r="BA78" s="14" t="s">
        <v>181</v>
      </c>
      <c r="BC78" s="19">
        <f>AW78+AX78</f>
        <v>0</v>
      </c>
      <c r="BD78" s="19">
        <f>H78/(100-BE78)*100</f>
        <v>0</v>
      </c>
      <c r="BE78" s="19">
        <v>0</v>
      </c>
      <c r="BF78" s="19">
        <f>O78</f>
        <v>1.8000000000000002E-2</v>
      </c>
      <c r="BH78" s="19">
        <f>G78*AO78</f>
        <v>0</v>
      </c>
      <c r="BI78" s="19">
        <f>G78*AP78</f>
        <v>0</v>
      </c>
      <c r="BJ78" s="19">
        <f>G78*H78</f>
        <v>0</v>
      </c>
      <c r="BK78" s="51" t="s">
        <v>101</v>
      </c>
      <c r="BL78" s="19"/>
      <c r="BW78" s="19">
        <f>I78</f>
        <v>21</v>
      </c>
      <c r="BX78" s="5" t="s">
        <v>113</v>
      </c>
    </row>
    <row r="79" spans="1:76" ht="13.5" customHeight="1" x14ac:dyDescent="0.25">
      <c r="A79" s="52"/>
      <c r="C79" s="21" t="s">
        <v>40</v>
      </c>
      <c r="D79" s="193" t="s">
        <v>114</v>
      </c>
      <c r="E79" s="194"/>
      <c r="F79" s="194"/>
      <c r="G79" s="194"/>
      <c r="H79" s="194"/>
      <c r="I79" s="194"/>
      <c r="J79" s="194"/>
      <c r="K79" s="194"/>
      <c r="L79" s="194"/>
      <c r="M79" s="194"/>
      <c r="N79" s="194"/>
      <c r="O79" s="194"/>
      <c r="P79" s="195"/>
    </row>
    <row r="80" spans="1:76" x14ac:dyDescent="0.25">
      <c r="A80" s="1" t="s">
        <v>209</v>
      </c>
      <c r="B80" s="2" t="s">
        <v>26</v>
      </c>
      <c r="C80" s="2" t="s">
        <v>115</v>
      </c>
      <c r="D80" s="96" t="s">
        <v>116</v>
      </c>
      <c r="E80" s="90"/>
      <c r="F80" s="2" t="s">
        <v>33</v>
      </c>
      <c r="G80" s="19">
        <f>'Rozpočet - vybrané sloupce'!H62</f>
        <v>3.1</v>
      </c>
      <c r="H80" s="19">
        <f>'Rozpočet - vybrané sloupce'!I62</f>
        <v>0</v>
      </c>
      <c r="I80" s="18">
        <v>21</v>
      </c>
      <c r="J80" s="19">
        <f>ROUND(G80*AO80,2)</f>
        <v>0</v>
      </c>
      <c r="K80" s="19">
        <f>ROUND(G80*AP80,2)</f>
        <v>0</v>
      </c>
      <c r="L80" s="19">
        <f>ROUND(G80*H80,2)</f>
        <v>0</v>
      </c>
      <c r="M80" s="19">
        <f>L80*(1+BW80/100)</f>
        <v>0</v>
      </c>
      <c r="N80" s="19">
        <v>0.6</v>
      </c>
      <c r="O80" s="19">
        <f>G80*N80</f>
        <v>1.8599999999999999</v>
      </c>
      <c r="P80" s="50" t="s">
        <v>34</v>
      </c>
      <c r="Z80" s="19">
        <f>ROUND(IF(AQ80="5",BJ80,0),2)</f>
        <v>0</v>
      </c>
      <c r="AB80" s="19">
        <f>ROUND(IF(AQ80="1",BH80,0),2)</f>
        <v>0</v>
      </c>
      <c r="AC80" s="19">
        <f>ROUND(IF(AQ80="1",BI80,0),2)</f>
        <v>0</v>
      </c>
      <c r="AD80" s="19">
        <f>ROUND(IF(AQ80="7",BH80,0),2)</f>
        <v>0</v>
      </c>
      <c r="AE80" s="19">
        <f>ROUND(IF(AQ80="7",BI80,0),2)</f>
        <v>0</v>
      </c>
      <c r="AF80" s="19">
        <f>ROUND(IF(AQ80="2",BH80,0),2)</f>
        <v>0</v>
      </c>
      <c r="AG80" s="19">
        <f>ROUND(IF(AQ80="2",BI80,0),2)</f>
        <v>0</v>
      </c>
      <c r="AH80" s="19">
        <f>ROUND(IF(AQ80="0",BJ80,0),2)</f>
        <v>0</v>
      </c>
      <c r="AI80" s="14" t="s">
        <v>26</v>
      </c>
      <c r="AJ80" s="19">
        <f>IF(AN80=0,L80,0)</f>
        <v>0</v>
      </c>
      <c r="AK80" s="19">
        <f>IF(AN80=12,L80,0)</f>
        <v>0</v>
      </c>
      <c r="AL80" s="19">
        <f>IF(AN80=21,L80,0)</f>
        <v>0</v>
      </c>
      <c r="AN80" s="19">
        <v>21</v>
      </c>
      <c r="AO80" s="19">
        <f>H80*1</f>
        <v>0</v>
      </c>
      <c r="AP80" s="19">
        <f>H80*(1-1)</f>
        <v>0</v>
      </c>
      <c r="AQ80" s="51" t="s">
        <v>204</v>
      </c>
      <c r="AV80" s="19">
        <f>ROUND(AW80+AX80,2)</f>
        <v>0</v>
      </c>
      <c r="AW80" s="19">
        <f>ROUND(G80*AO80,2)</f>
        <v>0</v>
      </c>
      <c r="AX80" s="19">
        <f>ROUND(G80*AP80,2)</f>
        <v>0</v>
      </c>
      <c r="AY80" s="51" t="s">
        <v>205</v>
      </c>
      <c r="AZ80" s="51" t="s">
        <v>206</v>
      </c>
      <c r="BA80" s="14" t="s">
        <v>181</v>
      </c>
      <c r="BC80" s="19">
        <f>AW80+AX80</f>
        <v>0</v>
      </c>
      <c r="BD80" s="19">
        <f>H80/(100-BE80)*100</f>
        <v>0</v>
      </c>
      <c r="BE80" s="19">
        <v>0</v>
      </c>
      <c r="BF80" s="19">
        <f>O80</f>
        <v>1.8599999999999999</v>
      </c>
      <c r="BH80" s="19">
        <f>G80*AO80</f>
        <v>0</v>
      </c>
      <c r="BI80" s="19">
        <f>G80*AP80</f>
        <v>0</v>
      </c>
      <c r="BJ80" s="19">
        <f>G80*H80</f>
        <v>0</v>
      </c>
      <c r="BK80" s="51" t="s">
        <v>101</v>
      </c>
      <c r="BL80" s="19"/>
      <c r="BW80" s="19">
        <f>I80</f>
        <v>21</v>
      </c>
      <c r="BX80" s="5" t="s">
        <v>116</v>
      </c>
    </row>
    <row r="81" spans="1:76" ht="13.5" customHeight="1" x14ac:dyDescent="0.25">
      <c r="A81" s="52"/>
      <c r="C81" s="21" t="s">
        <v>40</v>
      </c>
      <c r="D81" s="193" t="s">
        <v>117</v>
      </c>
      <c r="E81" s="194"/>
      <c r="F81" s="194"/>
      <c r="G81" s="194"/>
      <c r="H81" s="194"/>
      <c r="I81" s="194"/>
      <c r="J81" s="194"/>
      <c r="K81" s="194"/>
      <c r="L81" s="194"/>
      <c r="M81" s="194"/>
      <c r="N81" s="194"/>
      <c r="O81" s="194"/>
      <c r="P81" s="195"/>
    </row>
    <row r="82" spans="1:76" x14ac:dyDescent="0.25">
      <c r="A82" s="1" t="s">
        <v>210</v>
      </c>
      <c r="B82" s="2" t="s">
        <v>26</v>
      </c>
      <c r="C82" s="2" t="s">
        <v>118</v>
      </c>
      <c r="D82" s="96" t="s">
        <v>119</v>
      </c>
      <c r="E82" s="90"/>
      <c r="F82" s="2" t="s">
        <v>110</v>
      </c>
      <c r="G82" s="19">
        <f>'Rozpočet - vybrané sloupce'!H64</f>
        <v>3</v>
      </c>
      <c r="H82" s="19">
        <f>'Rozpočet - vybrané sloupce'!I64</f>
        <v>0</v>
      </c>
      <c r="I82" s="18">
        <v>21</v>
      </c>
      <c r="J82" s="19">
        <f>ROUND(G82*AO82,2)</f>
        <v>0</v>
      </c>
      <c r="K82" s="19">
        <f>ROUND(G82*AP82,2)</f>
        <v>0</v>
      </c>
      <c r="L82" s="19">
        <f>ROUND(G82*H82,2)</f>
        <v>0</v>
      </c>
      <c r="M82" s="19">
        <f>L82*(1+BW82/100)</f>
        <v>0</v>
      </c>
      <c r="N82" s="19">
        <v>0.05</v>
      </c>
      <c r="O82" s="19">
        <f>G82*N82</f>
        <v>0.15000000000000002</v>
      </c>
      <c r="P82" s="50" t="s">
        <v>27</v>
      </c>
      <c r="Z82" s="19">
        <f>ROUND(IF(AQ82="5",BJ82,0),2)</f>
        <v>0</v>
      </c>
      <c r="AB82" s="19">
        <f>ROUND(IF(AQ82="1",BH82,0),2)</f>
        <v>0</v>
      </c>
      <c r="AC82" s="19">
        <f>ROUND(IF(AQ82="1",BI82,0),2)</f>
        <v>0</v>
      </c>
      <c r="AD82" s="19">
        <f>ROUND(IF(AQ82="7",BH82,0),2)</f>
        <v>0</v>
      </c>
      <c r="AE82" s="19">
        <f>ROUND(IF(AQ82="7",BI82,0),2)</f>
        <v>0</v>
      </c>
      <c r="AF82" s="19">
        <f>ROUND(IF(AQ82="2",BH82,0),2)</f>
        <v>0</v>
      </c>
      <c r="AG82" s="19">
        <f>ROUND(IF(AQ82="2",BI82,0),2)</f>
        <v>0</v>
      </c>
      <c r="AH82" s="19">
        <f>ROUND(IF(AQ82="0",BJ82,0),2)</f>
        <v>0</v>
      </c>
      <c r="AI82" s="14" t="s">
        <v>26</v>
      </c>
      <c r="AJ82" s="19">
        <f>IF(AN82=0,L82,0)</f>
        <v>0</v>
      </c>
      <c r="AK82" s="19">
        <f>IF(AN82=12,L82,0)</f>
        <v>0</v>
      </c>
      <c r="AL82" s="19">
        <f>IF(AN82=21,L82,0)</f>
        <v>0</v>
      </c>
      <c r="AN82" s="19">
        <v>21</v>
      </c>
      <c r="AO82" s="19">
        <f>H82*1</f>
        <v>0</v>
      </c>
      <c r="AP82" s="19">
        <f>H82*(1-1)</f>
        <v>0</v>
      </c>
      <c r="AQ82" s="51" t="s">
        <v>204</v>
      </c>
      <c r="AV82" s="19">
        <f>ROUND(AW82+AX82,2)</f>
        <v>0</v>
      </c>
      <c r="AW82" s="19">
        <f>ROUND(G82*AO82,2)</f>
        <v>0</v>
      </c>
      <c r="AX82" s="19">
        <f>ROUND(G82*AP82,2)</f>
        <v>0</v>
      </c>
      <c r="AY82" s="51" t="s">
        <v>205</v>
      </c>
      <c r="AZ82" s="51" t="s">
        <v>206</v>
      </c>
      <c r="BA82" s="14" t="s">
        <v>181</v>
      </c>
      <c r="BC82" s="19">
        <f>AW82+AX82</f>
        <v>0</v>
      </c>
      <c r="BD82" s="19">
        <f>H82/(100-BE82)*100</f>
        <v>0</v>
      </c>
      <c r="BE82" s="19">
        <v>0</v>
      </c>
      <c r="BF82" s="19">
        <f>O82</f>
        <v>0.15000000000000002</v>
      </c>
      <c r="BH82" s="19">
        <f>G82*AO82</f>
        <v>0</v>
      </c>
      <c r="BI82" s="19">
        <f>G82*AP82</f>
        <v>0</v>
      </c>
      <c r="BJ82" s="19">
        <f>G82*H82</f>
        <v>0</v>
      </c>
      <c r="BK82" s="51" t="s">
        <v>101</v>
      </c>
      <c r="BL82" s="19"/>
      <c r="BW82" s="19">
        <f>I82</f>
        <v>21</v>
      </c>
      <c r="BX82" s="5" t="s">
        <v>119</v>
      </c>
    </row>
    <row r="83" spans="1:76" ht="13.5" customHeight="1" x14ac:dyDescent="0.25">
      <c r="A83" s="52"/>
      <c r="C83" s="21" t="s">
        <v>40</v>
      </c>
      <c r="D83" s="193" t="s">
        <v>120</v>
      </c>
      <c r="E83" s="194"/>
      <c r="F83" s="194"/>
      <c r="G83" s="194"/>
      <c r="H83" s="194"/>
      <c r="I83" s="194"/>
      <c r="J83" s="194"/>
      <c r="K83" s="194"/>
      <c r="L83" s="194"/>
      <c r="M83" s="194"/>
      <c r="N83" s="194"/>
      <c r="O83" s="194"/>
      <c r="P83" s="195"/>
    </row>
    <row r="84" spans="1:76" x14ac:dyDescent="0.25">
      <c r="A84" s="1" t="s">
        <v>211</v>
      </c>
      <c r="B84" s="2" t="s">
        <v>26</v>
      </c>
      <c r="C84" s="2" t="s">
        <v>121</v>
      </c>
      <c r="D84" s="96" t="s">
        <v>122</v>
      </c>
      <c r="E84" s="90"/>
      <c r="F84" s="2" t="s">
        <v>110</v>
      </c>
      <c r="G84" s="19">
        <f>'Rozpočet - vybrané sloupce'!H66</f>
        <v>30</v>
      </c>
      <c r="H84" s="19">
        <f>'Rozpočet - vybrané sloupce'!I66</f>
        <v>0</v>
      </c>
      <c r="I84" s="18">
        <v>21</v>
      </c>
      <c r="J84" s="19">
        <f>ROUND(G84*AO84,2)</f>
        <v>0</v>
      </c>
      <c r="K84" s="19">
        <f>ROUND(G84*AP84,2)</f>
        <v>0</v>
      </c>
      <c r="L84" s="19">
        <f>ROUND(G84*H84,2)</f>
        <v>0</v>
      </c>
      <c r="M84" s="19">
        <f>L84*(1+BW84/100)</f>
        <v>0</v>
      </c>
      <c r="N84" s="19">
        <v>1E-3</v>
      </c>
      <c r="O84" s="19">
        <f>G84*N84</f>
        <v>0.03</v>
      </c>
      <c r="P84" s="50" t="s">
        <v>27</v>
      </c>
      <c r="Z84" s="19">
        <f>ROUND(IF(AQ84="5",BJ84,0),2)</f>
        <v>0</v>
      </c>
      <c r="AB84" s="19">
        <f>ROUND(IF(AQ84="1",BH84,0),2)</f>
        <v>0</v>
      </c>
      <c r="AC84" s="19">
        <f>ROUND(IF(AQ84="1",BI84,0),2)</f>
        <v>0</v>
      </c>
      <c r="AD84" s="19">
        <f>ROUND(IF(AQ84="7",BH84,0),2)</f>
        <v>0</v>
      </c>
      <c r="AE84" s="19">
        <f>ROUND(IF(AQ84="7",BI84,0),2)</f>
        <v>0</v>
      </c>
      <c r="AF84" s="19">
        <f>ROUND(IF(AQ84="2",BH84,0),2)</f>
        <v>0</v>
      </c>
      <c r="AG84" s="19">
        <f>ROUND(IF(AQ84="2",BI84,0),2)</f>
        <v>0</v>
      </c>
      <c r="AH84" s="19">
        <f>ROUND(IF(AQ84="0",BJ84,0),2)</f>
        <v>0</v>
      </c>
      <c r="AI84" s="14" t="s">
        <v>26</v>
      </c>
      <c r="AJ84" s="19">
        <f>IF(AN84=0,L84,0)</f>
        <v>0</v>
      </c>
      <c r="AK84" s="19">
        <f>IF(AN84=12,L84,0)</f>
        <v>0</v>
      </c>
      <c r="AL84" s="19">
        <f>IF(AN84=21,L84,0)</f>
        <v>0</v>
      </c>
      <c r="AN84" s="19">
        <v>21</v>
      </c>
      <c r="AO84" s="19">
        <f>H84*1</f>
        <v>0</v>
      </c>
      <c r="AP84" s="19">
        <f>H84*(1-1)</f>
        <v>0</v>
      </c>
      <c r="AQ84" s="51" t="s">
        <v>204</v>
      </c>
      <c r="AV84" s="19">
        <f>ROUND(AW84+AX84,2)</f>
        <v>0</v>
      </c>
      <c r="AW84" s="19">
        <f>ROUND(G84*AO84,2)</f>
        <v>0</v>
      </c>
      <c r="AX84" s="19">
        <f>ROUND(G84*AP84,2)</f>
        <v>0</v>
      </c>
      <c r="AY84" s="51" t="s">
        <v>205</v>
      </c>
      <c r="AZ84" s="51" t="s">
        <v>206</v>
      </c>
      <c r="BA84" s="14" t="s">
        <v>181</v>
      </c>
      <c r="BC84" s="19">
        <f>AW84+AX84</f>
        <v>0</v>
      </c>
      <c r="BD84" s="19">
        <f>H84/(100-BE84)*100</f>
        <v>0</v>
      </c>
      <c r="BE84" s="19">
        <v>0</v>
      </c>
      <c r="BF84" s="19">
        <f>O84</f>
        <v>0.03</v>
      </c>
      <c r="BH84" s="19">
        <f>G84*AO84</f>
        <v>0</v>
      </c>
      <c r="BI84" s="19">
        <f>G84*AP84</f>
        <v>0</v>
      </c>
      <c r="BJ84" s="19">
        <f>G84*H84</f>
        <v>0</v>
      </c>
      <c r="BK84" s="51" t="s">
        <v>101</v>
      </c>
      <c r="BL84" s="19"/>
      <c r="BW84" s="19">
        <f>I84</f>
        <v>21</v>
      </c>
      <c r="BX84" s="5" t="s">
        <v>122</v>
      </c>
    </row>
    <row r="85" spans="1:76" ht="13.5" customHeight="1" x14ac:dyDescent="0.25">
      <c r="A85" s="52"/>
      <c r="C85" s="21" t="s">
        <v>40</v>
      </c>
      <c r="D85" s="193" t="s">
        <v>123</v>
      </c>
      <c r="E85" s="194"/>
      <c r="F85" s="194"/>
      <c r="G85" s="194"/>
      <c r="H85" s="194"/>
      <c r="I85" s="194"/>
      <c r="J85" s="194"/>
      <c r="K85" s="194"/>
      <c r="L85" s="194"/>
      <c r="M85" s="194"/>
      <c r="N85" s="194"/>
      <c r="O85" s="194"/>
      <c r="P85" s="195"/>
    </row>
    <row r="86" spans="1:76" x14ac:dyDescent="0.25">
      <c r="A86" s="1" t="s">
        <v>212</v>
      </c>
      <c r="B86" s="2" t="s">
        <v>26</v>
      </c>
      <c r="C86" s="2" t="s">
        <v>124</v>
      </c>
      <c r="D86" s="96" t="s">
        <v>125</v>
      </c>
      <c r="E86" s="90"/>
      <c r="F86" s="2" t="s">
        <v>110</v>
      </c>
      <c r="G86" s="19">
        <f>'Rozpočet - vybrané sloupce'!H68</f>
        <v>15</v>
      </c>
      <c r="H86" s="19">
        <f>'Rozpočet - vybrané sloupce'!I68</f>
        <v>0</v>
      </c>
      <c r="I86" s="18">
        <v>21</v>
      </c>
      <c r="J86" s="19">
        <f>ROUND(G86*AO86,2)</f>
        <v>0</v>
      </c>
      <c r="K86" s="19">
        <f>ROUND(G86*AP86,2)</f>
        <v>0</v>
      </c>
      <c r="L86" s="19">
        <f>ROUND(G86*H86,2)</f>
        <v>0</v>
      </c>
      <c r="M86" s="19">
        <f>L86*(1+BW86/100)</f>
        <v>0</v>
      </c>
      <c r="N86" s="19">
        <v>1E-3</v>
      </c>
      <c r="O86" s="19">
        <f>G86*N86</f>
        <v>1.4999999999999999E-2</v>
      </c>
      <c r="P86" s="50" t="s">
        <v>27</v>
      </c>
      <c r="Z86" s="19">
        <f>ROUND(IF(AQ86="5",BJ86,0),2)</f>
        <v>0</v>
      </c>
      <c r="AB86" s="19">
        <f>ROUND(IF(AQ86="1",BH86,0),2)</f>
        <v>0</v>
      </c>
      <c r="AC86" s="19">
        <f>ROUND(IF(AQ86="1",BI86,0),2)</f>
        <v>0</v>
      </c>
      <c r="AD86" s="19">
        <f>ROUND(IF(AQ86="7",BH86,0),2)</f>
        <v>0</v>
      </c>
      <c r="AE86" s="19">
        <f>ROUND(IF(AQ86="7",BI86,0),2)</f>
        <v>0</v>
      </c>
      <c r="AF86" s="19">
        <f>ROUND(IF(AQ86="2",BH86,0),2)</f>
        <v>0</v>
      </c>
      <c r="AG86" s="19">
        <f>ROUND(IF(AQ86="2",BI86,0),2)</f>
        <v>0</v>
      </c>
      <c r="AH86" s="19">
        <f>ROUND(IF(AQ86="0",BJ86,0),2)</f>
        <v>0</v>
      </c>
      <c r="AI86" s="14" t="s">
        <v>26</v>
      </c>
      <c r="AJ86" s="19">
        <f>IF(AN86=0,L86,0)</f>
        <v>0</v>
      </c>
      <c r="AK86" s="19">
        <f>IF(AN86=12,L86,0)</f>
        <v>0</v>
      </c>
      <c r="AL86" s="19">
        <f>IF(AN86=21,L86,0)</f>
        <v>0</v>
      </c>
      <c r="AN86" s="19">
        <v>21</v>
      </c>
      <c r="AO86" s="19">
        <f>H86*1</f>
        <v>0</v>
      </c>
      <c r="AP86" s="19">
        <f>H86*(1-1)</f>
        <v>0</v>
      </c>
      <c r="AQ86" s="51" t="s">
        <v>204</v>
      </c>
      <c r="AV86" s="19">
        <f>ROUND(AW86+AX86,2)</f>
        <v>0</v>
      </c>
      <c r="AW86" s="19">
        <f>ROUND(G86*AO86,2)</f>
        <v>0</v>
      </c>
      <c r="AX86" s="19">
        <f>ROUND(G86*AP86,2)</f>
        <v>0</v>
      </c>
      <c r="AY86" s="51" t="s">
        <v>205</v>
      </c>
      <c r="AZ86" s="51" t="s">
        <v>206</v>
      </c>
      <c r="BA86" s="14" t="s">
        <v>181</v>
      </c>
      <c r="BC86" s="19">
        <f>AW86+AX86</f>
        <v>0</v>
      </c>
      <c r="BD86" s="19">
        <f>H86/(100-BE86)*100</f>
        <v>0</v>
      </c>
      <c r="BE86" s="19">
        <v>0</v>
      </c>
      <c r="BF86" s="19">
        <f>O86</f>
        <v>1.4999999999999999E-2</v>
      </c>
      <c r="BH86" s="19">
        <f>G86*AO86</f>
        <v>0</v>
      </c>
      <c r="BI86" s="19">
        <f>G86*AP86</f>
        <v>0</v>
      </c>
      <c r="BJ86" s="19">
        <f>G86*H86</f>
        <v>0</v>
      </c>
      <c r="BK86" s="51" t="s">
        <v>101</v>
      </c>
      <c r="BL86" s="19"/>
      <c r="BW86" s="19">
        <f>I86</f>
        <v>21</v>
      </c>
      <c r="BX86" s="5" t="s">
        <v>125</v>
      </c>
    </row>
    <row r="87" spans="1:76" ht="13.5" customHeight="1" x14ac:dyDescent="0.25">
      <c r="A87" s="52"/>
      <c r="C87" s="21" t="s">
        <v>40</v>
      </c>
      <c r="D87" s="193" t="s">
        <v>126</v>
      </c>
      <c r="E87" s="194"/>
      <c r="F87" s="194"/>
      <c r="G87" s="194"/>
      <c r="H87" s="194"/>
      <c r="I87" s="194"/>
      <c r="J87" s="194"/>
      <c r="K87" s="194"/>
      <c r="L87" s="194"/>
      <c r="M87" s="194"/>
      <c r="N87" s="194"/>
      <c r="O87" s="194"/>
      <c r="P87" s="195"/>
    </row>
    <row r="88" spans="1:76" x14ac:dyDescent="0.25">
      <c r="A88" s="1" t="s">
        <v>213</v>
      </c>
      <c r="B88" s="2" t="s">
        <v>26</v>
      </c>
      <c r="C88" s="2" t="s">
        <v>127</v>
      </c>
      <c r="D88" s="96" t="s">
        <v>128</v>
      </c>
      <c r="E88" s="90"/>
      <c r="F88" s="2" t="s">
        <v>110</v>
      </c>
      <c r="G88" s="19">
        <f>'Rozpočet - vybrané sloupce'!H70</f>
        <v>10</v>
      </c>
      <c r="H88" s="19">
        <f>'Rozpočet - vybrané sloupce'!I70</f>
        <v>0</v>
      </c>
      <c r="I88" s="18">
        <v>21</v>
      </c>
      <c r="J88" s="19">
        <f>ROUND(G88*AO88,2)</f>
        <v>0</v>
      </c>
      <c r="K88" s="19">
        <f>ROUND(G88*AP88,2)</f>
        <v>0</v>
      </c>
      <c r="L88" s="19">
        <f>ROUND(G88*H88,2)</f>
        <v>0</v>
      </c>
      <c r="M88" s="19">
        <f>L88*(1+BW88/100)</f>
        <v>0</v>
      </c>
      <c r="N88" s="19">
        <v>2E-3</v>
      </c>
      <c r="O88" s="19">
        <f>G88*N88</f>
        <v>0.02</v>
      </c>
      <c r="P88" s="50" t="s">
        <v>27</v>
      </c>
      <c r="Z88" s="19">
        <f>ROUND(IF(AQ88="5",BJ88,0),2)</f>
        <v>0</v>
      </c>
      <c r="AB88" s="19">
        <f>ROUND(IF(AQ88="1",BH88,0),2)</f>
        <v>0</v>
      </c>
      <c r="AC88" s="19">
        <f>ROUND(IF(AQ88="1",BI88,0),2)</f>
        <v>0</v>
      </c>
      <c r="AD88" s="19">
        <f>ROUND(IF(AQ88="7",BH88,0),2)</f>
        <v>0</v>
      </c>
      <c r="AE88" s="19">
        <f>ROUND(IF(AQ88="7",BI88,0),2)</f>
        <v>0</v>
      </c>
      <c r="AF88" s="19">
        <f>ROUND(IF(AQ88="2",BH88,0),2)</f>
        <v>0</v>
      </c>
      <c r="AG88" s="19">
        <f>ROUND(IF(AQ88="2",BI88,0),2)</f>
        <v>0</v>
      </c>
      <c r="AH88" s="19">
        <f>ROUND(IF(AQ88="0",BJ88,0),2)</f>
        <v>0</v>
      </c>
      <c r="AI88" s="14" t="s">
        <v>26</v>
      </c>
      <c r="AJ88" s="19">
        <f>IF(AN88=0,L88,0)</f>
        <v>0</v>
      </c>
      <c r="AK88" s="19">
        <f>IF(AN88=12,L88,0)</f>
        <v>0</v>
      </c>
      <c r="AL88" s="19">
        <f>IF(AN88=21,L88,0)</f>
        <v>0</v>
      </c>
      <c r="AN88" s="19">
        <v>21</v>
      </c>
      <c r="AO88" s="19">
        <f>H88*1</f>
        <v>0</v>
      </c>
      <c r="AP88" s="19">
        <f>H88*(1-1)</f>
        <v>0</v>
      </c>
      <c r="AQ88" s="51" t="s">
        <v>204</v>
      </c>
      <c r="AV88" s="19">
        <f>ROUND(AW88+AX88,2)</f>
        <v>0</v>
      </c>
      <c r="AW88" s="19">
        <f>ROUND(G88*AO88,2)</f>
        <v>0</v>
      </c>
      <c r="AX88" s="19">
        <f>ROUND(G88*AP88,2)</f>
        <v>0</v>
      </c>
      <c r="AY88" s="51" t="s">
        <v>205</v>
      </c>
      <c r="AZ88" s="51" t="s">
        <v>206</v>
      </c>
      <c r="BA88" s="14" t="s">
        <v>181</v>
      </c>
      <c r="BC88" s="19">
        <f>AW88+AX88</f>
        <v>0</v>
      </c>
      <c r="BD88" s="19">
        <f>H88/(100-BE88)*100</f>
        <v>0</v>
      </c>
      <c r="BE88" s="19">
        <v>0</v>
      </c>
      <c r="BF88" s="19">
        <f>O88</f>
        <v>0.02</v>
      </c>
      <c r="BH88" s="19">
        <f>G88*AO88</f>
        <v>0</v>
      </c>
      <c r="BI88" s="19">
        <f>G88*AP88</f>
        <v>0</v>
      </c>
      <c r="BJ88" s="19">
        <f>G88*H88</f>
        <v>0</v>
      </c>
      <c r="BK88" s="51" t="s">
        <v>101</v>
      </c>
      <c r="BL88" s="19"/>
      <c r="BW88" s="19">
        <f>I88</f>
        <v>21</v>
      </c>
      <c r="BX88" s="5" t="s">
        <v>128</v>
      </c>
    </row>
    <row r="89" spans="1:76" ht="13.5" customHeight="1" x14ac:dyDescent="0.25">
      <c r="A89" s="52"/>
      <c r="C89" s="21" t="s">
        <v>40</v>
      </c>
      <c r="D89" s="193" t="s">
        <v>129</v>
      </c>
      <c r="E89" s="194"/>
      <c r="F89" s="194"/>
      <c r="G89" s="194"/>
      <c r="H89" s="194"/>
      <c r="I89" s="194"/>
      <c r="J89" s="194"/>
      <c r="K89" s="194"/>
      <c r="L89" s="194"/>
      <c r="M89" s="194"/>
      <c r="N89" s="194"/>
      <c r="O89" s="194"/>
      <c r="P89" s="195"/>
    </row>
    <row r="90" spans="1:76" x14ac:dyDescent="0.25">
      <c r="A90" s="47" t="s">
        <v>27</v>
      </c>
      <c r="B90" s="13" t="s">
        <v>130</v>
      </c>
      <c r="C90" s="13" t="s">
        <v>27</v>
      </c>
      <c r="D90" s="98" t="s">
        <v>131</v>
      </c>
      <c r="E90" s="99"/>
      <c r="F90" s="48" t="s">
        <v>25</v>
      </c>
      <c r="G90" s="48" t="s">
        <v>25</v>
      </c>
      <c r="H90" s="48" t="s">
        <v>25</v>
      </c>
      <c r="I90" s="48" t="s">
        <v>25</v>
      </c>
      <c r="J90" s="15">
        <f>J91+J96+J99</f>
        <v>0</v>
      </c>
      <c r="K90" s="15">
        <f>K91+K96+K99</f>
        <v>0</v>
      </c>
      <c r="L90" s="15">
        <f>L91+L96+L99</f>
        <v>0</v>
      </c>
      <c r="M90" s="15">
        <f>M91+M96+M99</f>
        <v>0</v>
      </c>
      <c r="N90" s="14" t="s">
        <v>27</v>
      </c>
      <c r="O90" s="15">
        <f>O91+O96+O99</f>
        <v>2.1280000000000001</v>
      </c>
      <c r="P90" s="49" t="s">
        <v>27</v>
      </c>
    </row>
    <row r="91" spans="1:76" x14ac:dyDescent="0.25">
      <c r="A91" s="47" t="s">
        <v>27</v>
      </c>
      <c r="B91" s="13" t="s">
        <v>130</v>
      </c>
      <c r="C91" s="13" t="s">
        <v>36</v>
      </c>
      <c r="D91" s="98" t="s">
        <v>28</v>
      </c>
      <c r="E91" s="99"/>
      <c r="F91" s="48" t="s">
        <v>25</v>
      </c>
      <c r="G91" s="48" t="s">
        <v>25</v>
      </c>
      <c r="H91" s="48" t="s">
        <v>25</v>
      </c>
      <c r="I91" s="48" t="s">
        <v>25</v>
      </c>
      <c r="J91" s="15">
        <f>SUM(J92:J94)</f>
        <v>0</v>
      </c>
      <c r="K91" s="15">
        <f>SUM(K92:K94)</f>
        <v>0</v>
      </c>
      <c r="L91" s="15">
        <f>SUM(L92:L94)</f>
        <v>0</v>
      </c>
      <c r="M91" s="15">
        <f>SUM(M92:M94)</f>
        <v>0</v>
      </c>
      <c r="N91" s="14" t="s">
        <v>27</v>
      </c>
      <c r="O91" s="15">
        <f>SUM(O92:O94)</f>
        <v>0</v>
      </c>
      <c r="P91" s="49" t="s">
        <v>27</v>
      </c>
      <c r="AI91" s="14" t="s">
        <v>130</v>
      </c>
      <c r="AS91" s="15">
        <f>SUM(AJ92:AJ94)</f>
        <v>0</v>
      </c>
      <c r="AT91" s="15">
        <f>SUM(AK92:AK94)</f>
        <v>0</v>
      </c>
      <c r="AU91" s="15">
        <f>SUM(AL92:AL94)</f>
        <v>0</v>
      </c>
    </row>
    <row r="92" spans="1:76" x14ac:dyDescent="0.25">
      <c r="A92" s="1" t="s">
        <v>214</v>
      </c>
      <c r="B92" s="2" t="s">
        <v>130</v>
      </c>
      <c r="C92" s="2" t="s">
        <v>132</v>
      </c>
      <c r="D92" s="96" t="s">
        <v>133</v>
      </c>
      <c r="E92" s="90"/>
      <c r="F92" s="2" t="s">
        <v>39</v>
      </c>
      <c r="G92" s="19">
        <f>'Rozpočet - vybrané sloupce'!H74</f>
        <v>102</v>
      </c>
      <c r="H92" s="19">
        <f>'Rozpočet - vybrané sloupce'!I74</f>
        <v>0</v>
      </c>
      <c r="I92" s="18">
        <v>21</v>
      </c>
      <c r="J92" s="19">
        <f>ROUND(G92*AO92,2)</f>
        <v>0</v>
      </c>
      <c r="K92" s="19">
        <f>ROUND(G92*AP92,2)</f>
        <v>0</v>
      </c>
      <c r="L92" s="19">
        <f>ROUND(G92*H92,2)</f>
        <v>0</v>
      </c>
      <c r="M92" s="19">
        <f>L92*(1+BW92/100)</f>
        <v>0</v>
      </c>
      <c r="N92" s="19">
        <v>0</v>
      </c>
      <c r="O92" s="19">
        <f>G92*N92</f>
        <v>0</v>
      </c>
      <c r="P92" s="50" t="s">
        <v>34</v>
      </c>
      <c r="Z92" s="19">
        <f>ROUND(IF(AQ92="5",BJ92,0),2)</f>
        <v>0</v>
      </c>
      <c r="AB92" s="19">
        <f>ROUND(IF(AQ92="1",BH92,0),2)</f>
        <v>0</v>
      </c>
      <c r="AC92" s="19">
        <f>ROUND(IF(AQ92="1",BI92,0),2)</f>
        <v>0</v>
      </c>
      <c r="AD92" s="19">
        <f>ROUND(IF(AQ92="7",BH92,0),2)</f>
        <v>0</v>
      </c>
      <c r="AE92" s="19">
        <f>ROUND(IF(AQ92="7",BI92,0),2)</f>
        <v>0</v>
      </c>
      <c r="AF92" s="19">
        <f>ROUND(IF(AQ92="2",BH92,0),2)</f>
        <v>0</v>
      </c>
      <c r="AG92" s="19">
        <f>ROUND(IF(AQ92="2",BI92,0),2)</f>
        <v>0</v>
      </c>
      <c r="AH92" s="19">
        <f>ROUND(IF(AQ92="0",BJ92,0),2)</f>
        <v>0</v>
      </c>
      <c r="AI92" s="14" t="s">
        <v>130</v>
      </c>
      <c r="AJ92" s="19">
        <f>IF(AN92=0,L92,0)</f>
        <v>0</v>
      </c>
      <c r="AK92" s="19">
        <f>IF(AN92=12,L92,0)</f>
        <v>0</v>
      </c>
      <c r="AL92" s="19">
        <f>IF(AN92=21,L92,0)</f>
        <v>0</v>
      </c>
      <c r="AN92" s="19">
        <v>21</v>
      </c>
      <c r="AO92" s="19">
        <f>H92*0</f>
        <v>0</v>
      </c>
      <c r="AP92" s="19">
        <f>H92*(1-0)</f>
        <v>0</v>
      </c>
      <c r="AQ92" s="51" t="s">
        <v>88</v>
      </c>
      <c r="AV92" s="19">
        <f>ROUND(AW92+AX92,2)</f>
        <v>0</v>
      </c>
      <c r="AW92" s="19">
        <f>ROUND(G92*AO92,2)</f>
        <v>0</v>
      </c>
      <c r="AX92" s="19">
        <f>ROUND(G92*AP92,2)</f>
        <v>0</v>
      </c>
      <c r="AY92" s="51" t="s">
        <v>185</v>
      </c>
      <c r="AZ92" s="51" t="s">
        <v>215</v>
      </c>
      <c r="BA92" s="14" t="s">
        <v>216</v>
      </c>
      <c r="BC92" s="19">
        <f>AW92+AX92</f>
        <v>0</v>
      </c>
      <c r="BD92" s="19">
        <f>H92/(100-BE92)*100</f>
        <v>0</v>
      </c>
      <c r="BE92" s="19">
        <v>0</v>
      </c>
      <c r="BF92" s="19">
        <f>O92</f>
        <v>0</v>
      </c>
      <c r="BH92" s="19">
        <f>G92*AO92</f>
        <v>0</v>
      </c>
      <c r="BI92" s="19">
        <f>G92*AP92</f>
        <v>0</v>
      </c>
      <c r="BJ92" s="19">
        <f>G92*H92</f>
        <v>0</v>
      </c>
      <c r="BK92" s="51" t="s">
        <v>35</v>
      </c>
      <c r="BL92" s="19">
        <v>18</v>
      </c>
      <c r="BW92" s="19">
        <f>I92</f>
        <v>21</v>
      </c>
      <c r="BX92" s="5" t="s">
        <v>133</v>
      </c>
    </row>
    <row r="93" spans="1:76" ht="13.5" customHeight="1" x14ac:dyDescent="0.25">
      <c r="A93" s="52"/>
      <c r="C93" s="21" t="s">
        <v>40</v>
      </c>
      <c r="D93" s="193" t="s">
        <v>134</v>
      </c>
      <c r="E93" s="194"/>
      <c r="F93" s="194"/>
      <c r="G93" s="194"/>
      <c r="H93" s="194"/>
      <c r="I93" s="194"/>
      <c r="J93" s="194"/>
      <c r="K93" s="194"/>
      <c r="L93" s="194"/>
      <c r="M93" s="194"/>
      <c r="N93" s="194"/>
      <c r="O93" s="194"/>
      <c r="P93" s="195"/>
    </row>
    <row r="94" spans="1:76" x14ac:dyDescent="0.25">
      <c r="A94" s="1" t="s">
        <v>217</v>
      </c>
      <c r="B94" s="2" t="s">
        <v>130</v>
      </c>
      <c r="C94" s="2" t="s">
        <v>58</v>
      </c>
      <c r="D94" s="96" t="s">
        <v>135</v>
      </c>
      <c r="E94" s="90"/>
      <c r="F94" s="2" t="s">
        <v>39</v>
      </c>
      <c r="G94" s="19">
        <f>'Rozpočet - vybrané sloupce'!H76</f>
        <v>223</v>
      </c>
      <c r="H94" s="19">
        <f>'Rozpočet - vybrané sloupce'!I76</f>
        <v>0</v>
      </c>
      <c r="I94" s="18">
        <v>21</v>
      </c>
      <c r="J94" s="19">
        <f>ROUND(G94*AO94,2)</f>
        <v>0</v>
      </c>
      <c r="K94" s="19">
        <f>ROUND(G94*AP94,2)</f>
        <v>0</v>
      </c>
      <c r="L94" s="19">
        <f>ROUND(G94*H94,2)</f>
        <v>0</v>
      </c>
      <c r="M94" s="19">
        <f>L94*(1+BW94/100)</f>
        <v>0</v>
      </c>
      <c r="N94" s="19">
        <v>0</v>
      </c>
      <c r="O94" s="19">
        <f>G94*N94</f>
        <v>0</v>
      </c>
      <c r="P94" s="50" t="s">
        <v>34</v>
      </c>
      <c r="Z94" s="19">
        <f>ROUND(IF(AQ94="5",BJ94,0),2)</f>
        <v>0</v>
      </c>
      <c r="AB94" s="19">
        <f>ROUND(IF(AQ94="1",BH94,0),2)</f>
        <v>0</v>
      </c>
      <c r="AC94" s="19">
        <f>ROUND(IF(AQ94="1",BI94,0),2)</f>
        <v>0</v>
      </c>
      <c r="AD94" s="19">
        <f>ROUND(IF(AQ94="7",BH94,0),2)</f>
        <v>0</v>
      </c>
      <c r="AE94" s="19">
        <f>ROUND(IF(AQ94="7",BI94,0),2)</f>
        <v>0</v>
      </c>
      <c r="AF94" s="19">
        <f>ROUND(IF(AQ94="2",BH94,0),2)</f>
        <v>0</v>
      </c>
      <c r="AG94" s="19">
        <f>ROUND(IF(AQ94="2",BI94,0),2)</f>
        <v>0</v>
      </c>
      <c r="AH94" s="19">
        <f>ROUND(IF(AQ94="0",BJ94,0),2)</f>
        <v>0</v>
      </c>
      <c r="AI94" s="14" t="s">
        <v>130</v>
      </c>
      <c r="AJ94" s="19">
        <f>IF(AN94=0,L94,0)</f>
        <v>0</v>
      </c>
      <c r="AK94" s="19">
        <f>IF(AN94=12,L94,0)</f>
        <v>0</v>
      </c>
      <c r="AL94" s="19">
        <f>IF(AN94=21,L94,0)</f>
        <v>0</v>
      </c>
      <c r="AN94" s="19">
        <v>21</v>
      </c>
      <c r="AO94" s="19">
        <f>H94*0</f>
        <v>0</v>
      </c>
      <c r="AP94" s="19">
        <f>H94*(1-0)</f>
        <v>0</v>
      </c>
      <c r="AQ94" s="51" t="s">
        <v>88</v>
      </c>
      <c r="AV94" s="19">
        <f>ROUND(AW94+AX94,2)</f>
        <v>0</v>
      </c>
      <c r="AW94" s="19">
        <f>ROUND(G94*AO94,2)</f>
        <v>0</v>
      </c>
      <c r="AX94" s="19">
        <f>ROUND(G94*AP94,2)</f>
        <v>0</v>
      </c>
      <c r="AY94" s="51" t="s">
        <v>185</v>
      </c>
      <c r="AZ94" s="51" t="s">
        <v>215</v>
      </c>
      <c r="BA94" s="14" t="s">
        <v>216</v>
      </c>
      <c r="BC94" s="19">
        <f>AW94+AX94</f>
        <v>0</v>
      </c>
      <c r="BD94" s="19">
        <f>H94/(100-BE94)*100</f>
        <v>0</v>
      </c>
      <c r="BE94" s="19">
        <v>0</v>
      </c>
      <c r="BF94" s="19">
        <f>O94</f>
        <v>0</v>
      </c>
      <c r="BH94" s="19">
        <f>G94*AO94</f>
        <v>0</v>
      </c>
      <c r="BI94" s="19">
        <f>G94*AP94</f>
        <v>0</v>
      </c>
      <c r="BJ94" s="19">
        <f>G94*H94</f>
        <v>0</v>
      </c>
      <c r="BK94" s="51" t="s">
        <v>35</v>
      </c>
      <c r="BL94" s="19">
        <v>18</v>
      </c>
      <c r="BW94" s="19">
        <f>I94</f>
        <v>21</v>
      </c>
      <c r="BX94" s="5" t="s">
        <v>135</v>
      </c>
    </row>
    <row r="95" spans="1:76" ht="13.5" customHeight="1" x14ac:dyDescent="0.25">
      <c r="A95" s="52"/>
      <c r="C95" s="21" t="s">
        <v>40</v>
      </c>
      <c r="D95" s="193" t="s">
        <v>136</v>
      </c>
      <c r="E95" s="194"/>
      <c r="F95" s="194"/>
      <c r="G95" s="194"/>
      <c r="H95" s="194"/>
      <c r="I95" s="194"/>
      <c r="J95" s="194"/>
      <c r="K95" s="194"/>
      <c r="L95" s="194"/>
      <c r="M95" s="194"/>
      <c r="N95" s="194"/>
      <c r="O95" s="194"/>
      <c r="P95" s="195"/>
    </row>
    <row r="96" spans="1:76" x14ac:dyDescent="0.25">
      <c r="A96" s="47" t="s">
        <v>27</v>
      </c>
      <c r="B96" s="13" t="s">
        <v>130</v>
      </c>
      <c r="C96" s="13" t="s">
        <v>137</v>
      </c>
      <c r="D96" s="98" t="s">
        <v>138</v>
      </c>
      <c r="E96" s="99"/>
      <c r="F96" s="48" t="s">
        <v>25</v>
      </c>
      <c r="G96" s="48" t="s">
        <v>25</v>
      </c>
      <c r="H96" s="48" t="s">
        <v>25</v>
      </c>
      <c r="I96" s="48" t="s">
        <v>25</v>
      </c>
      <c r="J96" s="15">
        <f>SUM(J97:J97)</f>
        <v>0</v>
      </c>
      <c r="K96" s="15">
        <f>SUM(K97:K97)</f>
        <v>0</v>
      </c>
      <c r="L96" s="15">
        <f>SUM(L97:L97)</f>
        <v>0</v>
      </c>
      <c r="M96" s="15">
        <f>SUM(M97:M97)</f>
        <v>0</v>
      </c>
      <c r="N96" s="14" t="s">
        <v>27</v>
      </c>
      <c r="O96" s="15">
        <f>SUM(O97:O97)</f>
        <v>0</v>
      </c>
      <c r="P96" s="49" t="s">
        <v>27</v>
      </c>
      <c r="AI96" s="14" t="s">
        <v>130</v>
      </c>
      <c r="AS96" s="15">
        <f>SUM(AJ97:AJ97)</f>
        <v>0</v>
      </c>
      <c r="AT96" s="15">
        <f>SUM(AK97:AK97)</f>
        <v>0</v>
      </c>
      <c r="AU96" s="15">
        <f>SUM(AL97:AL97)</f>
        <v>0</v>
      </c>
    </row>
    <row r="97" spans="1:76" x14ac:dyDescent="0.25">
      <c r="A97" s="1" t="s">
        <v>218</v>
      </c>
      <c r="B97" s="2" t="s">
        <v>130</v>
      </c>
      <c r="C97" s="2" t="s">
        <v>139</v>
      </c>
      <c r="D97" s="96" t="s">
        <v>140</v>
      </c>
      <c r="E97" s="90"/>
      <c r="F97" s="2" t="s">
        <v>98</v>
      </c>
      <c r="G97" s="19">
        <f>'Rozpočet - vybrané sloupce'!H79</f>
        <v>10</v>
      </c>
      <c r="H97" s="19">
        <f>'Rozpočet - vybrané sloupce'!I79</f>
        <v>0</v>
      </c>
      <c r="I97" s="18">
        <v>21</v>
      </c>
      <c r="J97" s="19">
        <f>ROUND(G97*AO97,2)</f>
        <v>0</v>
      </c>
      <c r="K97" s="19">
        <f>ROUND(G97*AP97,2)</f>
        <v>0</v>
      </c>
      <c r="L97" s="19">
        <f>ROUND(G97*H97,2)</f>
        <v>0</v>
      </c>
      <c r="M97" s="19">
        <f>L97*(1+BW97/100)</f>
        <v>0</v>
      </c>
      <c r="N97" s="19">
        <v>0</v>
      </c>
      <c r="O97" s="19">
        <f>G97*N97</f>
        <v>0</v>
      </c>
      <c r="P97" s="50" t="s">
        <v>34</v>
      </c>
      <c r="Z97" s="19">
        <f>ROUND(IF(AQ97="5",BJ97,0),2)</f>
        <v>0</v>
      </c>
      <c r="AB97" s="19">
        <f>ROUND(IF(AQ97="1",BH97,0),2)</f>
        <v>0</v>
      </c>
      <c r="AC97" s="19">
        <f>ROUND(IF(AQ97="1",BI97,0),2)</f>
        <v>0</v>
      </c>
      <c r="AD97" s="19">
        <f>ROUND(IF(AQ97="7",BH97,0),2)</f>
        <v>0</v>
      </c>
      <c r="AE97" s="19">
        <f>ROUND(IF(AQ97="7",BI97,0),2)</f>
        <v>0</v>
      </c>
      <c r="AF97" s="19">
        <f>ROUND(IF(AQ97="2",BH97,0),2)</f>
        <v>0</v>
      </c>
      <c r="AG97" s="19">
        <f>ROUND(IF(AQ97="2",BI97,0),2)</f>
        <v>0</v>
      </c>
      <c r="AH97" s="19">
        <f>ROUND(IF(AQ97="0",BJ97,0),2)</f>
        <v>0</v>
      </c>
      <c r="AI97" s="14" t="s">
        <v>130</v>
      </c>
      <c r="AJ97" s="19">
        <f>IF(AN97=0,L97,0)</f>
        <v>0</v>
      </c>
      <c r="AK97" s="19">
        <f>IF(AN97=12,L97,0)</f>
        <v>0</v>
      </c>
      <c r="AL97" s="19">
        <f>IF(AN97=21,L97,0)</f>
        <v>0</v>
      </c>
      <c r="AN97" s="19">
        <v>21</v>
      </c>
      <c r="AO97" s="19">
        <f>H97*0</f>
        <v>0</v>
      </c>
      <c r="AP97" s="19">
        <f>H97*(1-0)</f>
        <v>0</v>
      </c>
      <c r="AQ97" s="51" t="s">
        <v>187</v>
      </c>
      <c r="AV97" s="19">
        <f>ROUND(AW97+AX97,2)</f>
        <v>0</v>
      </c>
      <c r="AW97" s="19">
        <f>ROUND(G97*AO97,2)</f>
        <v>0</v>
      </c>
      <c r="AX97" s="19">
        <f>ROUND(G97*AP97,2)</f>
        <v>0</v>
      </c>
      <c r="AY97" s="51" t="s">
        <v>219</v>
      </c>
      <c r="AZ97" s="51" t="s">
        <v>220</v>
      </c>
      <c r="BA97" s="14" t="s">
        <v>216</v>
      </c>
      <c r="BC97" s="19">
        <f>AW97+AX97</f>
        <v>0</v>
      </c>
      <c r="BD97" s="19">
        <f>H97/(100-BE97)*100</f>
        <v>0</v>
      </c>
      <c r="BE97" s="19">
        <v>0</v>
      </c>
      <c r="BF97" s="19">
        <f>O97</f>
        <v>0</v>
      </c>
      <c r="BH97" s="19">
        <f>G97*AO97</f>
        <v>0</v>
      </c>
      <c r="BI97" s="19">
        <f>G97*AP97</f>
        <v>0</v>
      </c>
      <c r="BJ97" s="19">
        <f>G97*H97</f>
        <v>0</v>
      </c>
      <c r="BK97" s="51" t="s">
        <v>35</v>
      </c>
      <c r="BL97" s="19"/>
      <c r="BW97" s="19">
        <f>I97</f>
        <v>21</v>
      </c>
      <c r="BX97" s="5" t="s">
        <v>140</v>
      </c>
    </row>
    <row r="98" spans="1:76" ht="13.5" customHeight="1" x14ac:dyDescent="0.25">
      <c r="A98" s="52"/>
      <c r="C98" s="21" t="s">
        <v>40</v>
      </c>
      <c r="D98" s="193" t="s">
        <v>129</v>
      </c>
      <c r="E98" s="194"/>
      <c r="F98" s="194"/>
      <c r="G98" s="194"/>
      <c r="H98" s="194"/>
      <c r="I98" s="194"/>
      <c r="J98" s="194"/>
      <c r="K98" s="194"/>
      <c r="L98" s="194"/>
      <c r="M98" s="194"/>
      <c r="N98" s="194"/>
      <c r="O98" s="194"/>
      <c r="P98" s="195"/>
    </row>
    <row r="99" spans="1:76" x14ac:dyDescent="0.25">
      <c r="A99" s="47" t="s">
        <v>27</v>
      </c>
      <c r="B99" s="13" t="s">
        <v>130</v>
      </c>
      <c r="C99" s="13" t="s">
        <v>101</v>
      </c>
      <c r="D99" s="98" t="s">
        <v>102</v>
      </c>
      <c r="E99" s="99"/>
      <c r="F99" s="48" t="s">
        <v>25</v>
      </c>
      <c r="G99" s="48" t="s">
        <v>25</v>
      </c>
      <c r="H99" s="48" t="s">
        <v>25</v>
      </c>
      <c r="I99" s="48" t="s">
        <v>25</v>
      </c>
      <c r="J99" s="15">
        <f>SUM(J100:J108)</f>
        <v>0</v>
      </c>
      <c r="K99" s="15">
        <f>SUM(K100:K108)</f>
        <v>0</v>
      </c>
      <c r="L99" s="15">
        <f>SUM(L100:L108)</f>
        <v>0</v>
      </c>
      <c r="M99" s="15">
        <f>SUM(M100:M108)</f>
        <v>0</v>
      </c>
      <c r="N99" s="14" t="s">
        <v>27</v>
      </c>
      <c r="O99" s="15">
        <f>SUM(O100:O108)</f>
        <v>2.1280000000000001</v>
      </c>
      <c r="P99" s="49" t="s">
        <v>27</v>
      </c>
      <c r="AI99" s="14" t="s">
        <v>130</v>
      </c>
      <c r="AS99" s="15">
        <f>SUM(AJ100:AJ108)</f>
        <v>0</v>
      </c>
      <c r="AT99" s="15">
        <f>SUM(AK100:AK108)</f>
        <v>0</v>
      </c>
      <c r="AU99" s="15">
        <f>SUM(AL100:AL108)</f>
        <v>0</v>
      </c>
    </row>
    <row r="100" spans="1:76" x14ac:dyDescent="0.25">
      <c r="A100" s="1" t="s">
        <v>221</v>
      </c>
      <c r="B100" s="2" t="s">
        <v>130</v>
      </c>
      <c r="C100" s="2" t="s">
        <v>141</v>
      </c>
      <c r="D100" s="96" t="s">
        <v>142</v>
      </c>
      <c r="E100" s="90"/>
      <c r="F100" s="2" t="s">
        <v>87</v>
      </c>
      <c r="G100" s="19">
        <f>'Rozpočet - vybrané sloupce'!H82</f>
        <v>1</v>
      </c>
      <c r="H100" s="19">
        <f>'Rozpočet - vybrané sloupce'!I82</f>
        <v>0</v>
      </c>
      <c r="I100" s="18">
        <v>21</v>
      </c>
      <c r="J100" s="19">
        <f>ROUND(G100*AO100,2)</f>
        <v>0</v>
      </c>
      <c r="K100" s="19">
        <f>ROUND(G100*AP100,2)</f>
        <v>0</v>
      </c>
      <c r="L100" s="19">
        <f>ROUND(G100*H100,2)</f>
        <v>0</v>
      </c>
      <c r="M100" s="19">
        <f>L100*(1+BW100/100)</f>
        <v>0</v>
      </c>
      <c r="N100" s="19">
        <v>0</v>
      </c>
      <c r="O100" s="19">
        <f>G100*N100</f>
        <v>0</v>
      </c>
      <c r="P100" s="50" t="s">
        <v>27</v>
      </c>
      <c r="Z100" s="19">
        <f>ROUND(IF(AQ100="5",BJ100,0),2)</f>
        <v>0</v>
      </c>
      <c r="AB100" s="19">
        <f>ROUND(IF(AQ100="1",BH100,0),2)</f>
        <v>0</v>
      </c>
      <c r="AC100" s="19">
        <f>ROUND(IF(AQ100="1",BI100,0),2)</f>
        <v>0</v>
      </c>
      <c r="AD100" s="19">
        <f>ROUND(IF(AQ100="7",BH100,0),2)</f>
        <v>0</v>
      </c>
      <c r="AE100" s="19">
        <f>ROUND(IF(AQ100="7",BI100,0),2)</f>
        <v>0</v>
      </c>
      <c r="AF100" s="19">
        <f>ROUND(IF(AQ100="2",BH100,0),2)</f>
        <v>0</v>
      </c>
      <c r="AG100" s="19">
        <f>ROUND(IF(AQ100="2",BI100,0),2)</f>
        <v>0</v>
      </c>
      <c r="AH100" s="19">
        <f>ROUND(IF(AQ100="0",BJ100,0),2)</f>
        <v>0</v>
      </c>
      <c r="AI100" s="14" t="s">
        <v>130</v>
      </c>
      <c r="AJ100" s="19">
        <f>IF(AN100=0,L100,0)</f>
        <v>0</v>
      </c>
      <c r="AK100" s="19">
        <f>IF(AN100=12,L100,0)</f>
        <v>0</v>
      </c>
      <c r="AL100" s="19">
        <f>IF(AN100=21,L100,0)</f>
        <v>0</v>
      </c>
      <c r="AN100" s="19">
        <v>21</v>
      </c>
      <c r="AO100" s="19">
        <f>H100*1</f>
        <v>0</v>
      </c>
      <c r="AP100" s="19">
        <f>H100*(1-1)</f>
        <v>0</v>
      </c>
      <c r="AQ100" s="51" t="s">
        <v>204</v>
      </c>
      <c r="AV100" s="19">
        <f>ROUND(AW100+AX100,2)</f>
        <v>0</v>
      </c>
      <c r="AW100" s="19">
        <f>ROUND(G100*AO100,2)</f>
        <v>0</v>
      </c>
      <c r="AX100" s="19">
        <f>ROUND(G100*AP100,2)</f>
        <v>0</v>
      </c>
      <c r="AY100" s="51" t="s">
        <v>205</v>
      </c>
      <c r="AZ100" s="51" t="s">
        <v>222</v>
      </c>
      <c r="BA100" s="14" t="s">
        <v>216</v>
      </c>
      <c r="BC100" s="19">
        <f>AW100+AX100</f>
        <v>0</v>
      </c>
      <c r="BD100" s="19">
        <f>H100/(100-BE100)*100</f>
        <v>0</v>
      </c>
      <c r="BE100" s="19">
        <v>0</v>
      </c>
      <c r="BF100" s="19">
        <f>O100</f>
        <v>0</v>
      </c>
      <c r="BH100" s="19">
        <f>G100*AO100</f>
        <v>0</v>
      </c>
      <c r="BI100" s="19">
        <f>G100*AP100</f>
        <v>0</v>
      </c>
      <c r="BJ100" s="19">
        <f>G100*H100</f>
        <v>0</v>
      </c>
      <c r="BK100" s="51" t="s">
        <v>101</v>
      </c>
      <c r="BL100" s="19"/>
      <c r="BW100" s="19">
        <f>I100</f>
        <v>21</v>
      </c>
      <c r="BX100" s="5" t="s">
        <v>142</v>
      </c>
    </row>
    <row r="101" spans="1:76" ht="13.5" customHeight="1" x14ac:dyDescent="0.25">
      <c r="A101" s="52"/>
      <c r="C101" s="21" t="s">
        <v>40</v>
      </c>
      <c r="D101" s="193" t="s">
        <v>143</v>
      </c>
      <c r="E101" s="194"/>
      <c r="F101" s="194"/>
      <c r="G101" s="194"/>
      <c r="H101" s="194"/>
      <c r="I101" s="194"/>
      <c r="J101" s="194"/>
      <c r="K101" s="194"/>
      <c r="L101" s="194"/>
      <c r="M101" s="194"/>
      <c r="N101" s="194"/>
      <c r="O101" s="194"/>
      <c r="P101" s="195"/>
    </row>
    <row r="102" spans="1:76" x14ac:dyDescent="0.25">
      <c r="A102" s="1" t="s">
        <v>123</v>
      </c>
      <c r="B102" s="2" t="s">
        <v>130</v>
      </c>
      <c r="C102" s="2" t="s">
        <v>144</v>
      </c>
      <c r="D102" s="96" t="s">
        <v>145</v>
      </c>
      <c r="E102" s="90"/>
      <c r="F102" s="2" t="s">
        <v>87</v>
      </c>
      <c r="G102" s="19">
        <f>'Rozpočet - vybrané sloupce'!H84</f>
        <v>1</v>
      </c>
      <c r="H102" s="19">
        <f>'Rozpočet - vybrané sloupce'!I84</f>
        <v>0</v>
      </c>
      <c r="I102" s="18">
        <v>21</v>
      </c>
      <c r="J102" s="19">
        <f>ROUND(G102*AO102,2)</f>
        <v>0</v>
      </c>
      <c r="K102" s="19">
        <f>ROUND(G102*AP102,2)</f>
        <v>0</v>
      </c>
      <c r="L102" s="19">
        <f>ROUND(G102*H102,2)</f>
        <v>0</v>
      </c>
      <c r="M102" s="19">
        <f>L102*(1+BW102/100)</f>
        <v>0</v>
      </c>
      <c r="N102" s="19">
        <v>0</v>
      </c>
      <c r="O102" s="19">
        <f>G102*N102</f>
        <v>0</v>
      </c>
      <c r="P102" s="50" t="s">
        <v>27</v>
      </c>
      <c r="Z102" s="19">
        <f>ROUND(IF(AQ102="5",BJ102,0),2)</f>
        <v>0</v>
      </c>
      <c r="AB102" s="19">
        <f>ROUND(IF(AQ102="1",BH102,0),2)</f>
        <v>0</v>
      </c>
      <c r="AC102" s="19">
        <f>ROUND(IF(AQ102="1",BI102,0),2)</f>
        <v>0</v>
      </c>
      <c r="AD102" s="19">
        <f>ROUND(IF(AQ102="7",BH102,0),2)</f>
        <v>0</v>
      </c>
      <c r="AE102" s="19">
        <f>ROUND(IF(AQ102="7",BI102,0),2)</f>
        <v>0</v>
      </c>
      <c r="AF102" s="19">
        <f>ROUND(IF(AQ102="2",BH102,0),2)</f>
        <v>0</v>
      </c>
      <c r="AG102" s="19">
        <f>ROUND(IF(AQ102="2",BI102,0),2)</f>
        <v>0</v>
      </c>
      <c r="AH102" s="19">
        <f>ROUND(IF(AQ102="0",BJ102,0),2)</f>
        <v>0</v>
      </c>
      <c r="AI102" s="14" t="s">
        <v>130</v>
      </c>
      <c r="AJ102" s="19">
        <f>IF(AN102=0,L102,0)</f>
        <v>0</v>
      </c>
      <c r="AK102" s="19">
        <f>IF(AN102=12,L102,0)</f>
        <v>0</v>
      </c>
      <c r="AL102" s="19">
        <f>IF(AN102=21,L102,0)</f>
        <v>0</v>
      </c>
      <c r="AN102" s="19">
        <v>21</v>
      </c>
      <c r="AO102" s="19">
        <f>H102*1</f>
        <v>0</v>
      </c>
      <c r="AP102" s="19">
        <f>H102*(1-1)</f>
        <v>0</v>
      </c>
      <c r="AQ102" s="51" t="s">
        <v>204</v>
      </c>
      <c r="AV102" s="19">
        <f>ROUND(AW102+AX102,2)</f>
        <v>0</v>
      </c>
      <c r="AW102" s="19">
        <f>ROUND(G102*AO102,2)</f>
        <v>0</v>
      </c>
      <c r="AX102" s="19">
        <f>ROUND(G102*AP102,2)</f>
        <v>0</v>
      </c>
      <c r="AY102" s="51" t="s">
        <v>205</v>
      </c>
      <c r="AZ102" s="51" t="s">
        <v>222</v>
      </c>
      <c r="BA102" s="14" t="s">
        <v>216</v>
      </c>
      <c r="BC102" s="19">
        <f>AW102+AX102</f>
        <v>0</v>
      </c>
      <c r="BD102" s="19">
        <f>H102/(100-BE102)*100</f>
        <v>0</v>
      </c>
      <c r="BE102" s="19">
        <v>0</v>
      </c>
      <c r="BF102" s="19">
        <f>O102</f>
        <v>0</v>
      </c>
      <c r="BH102" s="19">
        <f>G102*AO102</f>
        <v>0</v>
      </c>
      <c r="BI102" s="19">
        <f>G102*AP102</f>
        <v>0</v>
      </c>
      <c r="BJ102" s="19">
        <f>G102*H102</f>
        <v>0</v>
      </c>
      <c r="BK102" s="51" t="s">
        <v>101</v>
      </c>
      <c r="BL102" s="19"/>
      <c r="BW102" s="19">
        <f>I102</f>
        <v>21</v>
      </c>
      <c r="BX102" s="5" t="s">
        <v>145</v>
      </c>
    </row>
    <row r="103" spans="1:76" ht="13.5" customHeight="1" x14ac:dyDescent="0.25">
      <c r="A103" s="52"/>
      <c r="C103" s="21" t="s">
        <v>40</v>
      </c>
      <c r="D103" s="193" t="s">
        <v>143</v>
      </c>
      <c r="E103" s="194"/>
      <c r="F103" s="194"/>
      <c r="G103" s="194"/>
      <c r="H103" s="194"/>
      <c r="I103" s="194"/>
      <c r="J103" s="194"/>
      <c r="K103" s="194"/>
      <c r="L103" s="194"/>
      <c r="M103" s="194"/>
      <c r="N103" s="194"/>
      <c r="O103" s="194"/>
      <c r="P103" s="195"/>
    </row>
    <row r="104" spans="1:76" x14ac:dyDescent="0.25">
      <c r="A104" s="1" t="s">
        <v>223</v>
      </c>
      <c r="B104" s="2" t="s">
        <v>130</v>
      </c>
      <c r="C104" s="2" t="s">
        <v>146</v>
      </c>
      <c r="D104" s="96" t="s">
        <v>147</v>
      </c>
      <c r="E104" s="90"/>
      <c r="F104" s="2" t="s">
        <v>87</v>
      </c>
      <c r="G104" s="19">
        <f>'Rozpočet - vybrané sloupce'!H86</f>
        <v>1</v>
      </c>
      <c r="H104" s="19">
        <f>'Rozpočet - vybrané sloupce'!I86</f>
        <v>0</v>
      </c>
      <c r="I104" s="18">
        <v>21</v>
      </c>
      <c r="J104" s="19">
        <f>ROUND(G104*AO104,2)</f>
        <v>0</v>
      </c>
      <c r="K104" s="19">
        <f>ROUND(G104*AP104,2)</f>
        <v>0</v>
      </c>
      <c r="L104" s="19">
        <f>ROUND(G104*H104,2)</f>
        <v>0</v>
      </c>
      <c r="M104" s="19">
        <f>L104*(1+BW104/100)</f>
        <v>0</v>
      </c>
      <c r="N104" s="19">
        <v>0</v>
      </c>
      <c r="O104" s="19">
        <f>G104*N104</f>
        <v>0</v>
      </c>
      <c r="P104" s="50" t="s">
        <v>27</v>
      </c>
      <c r="Z104" s="19">
        <f>ROUND(IF(AQ104="5",BJ104,0),2)</f>
        <v>0</v>
      </c>
      <c r="AB104" s="19">
        <f>ROUND(IF(AQ104="1",BH104,0),2)</f>
        <v>0</v>
      </c>
      <c r="AC104" s="19">
        <f>ROUND(IF(AQ104="1",BI104,0),2)</f>
        <v>0</v>
      </c>
      <c r="AD104" s="19">
        <f>ROUND(IF(AQ104="7",BH104,0),2)</f>
        <v>0</v>
      </c>
      <c r="AE104" s="19">
        <f>ROUND(IF(AQ104="7",BI104,0),2)</f>
        <v>0</v>
      </c>
      <c r="AF104" s="19">
        <f>ROUND(IF(AQ104="2",BH104,0),2)</f>
        <v>0</v>
      </c>
      <c r="AG104" s="19">
        <f>ROUND(IF(AQ104="2",BI104,0),2)</f>
        <v>0</v>
      </c>
      <c r="AH104" s="19">
        <f>ROUND(IF(AQ104="0",BJ104,0),2)</f>
        <v>0</v>
      </c>
      <c r="AI104" s="14" t="s">
        <v>130</v>
      </c>
      <c r="AJ104" s="19">
        <f>IF(AN104=0,L104,0)</f>
        <v>0</v>
      </c>
      <c r="AK104" s="19">
        <f>IF(AN104=12,L104,0)</f>
        <v>0</v>
      </c>
      <c r="AL104" s="19">
        <f>IF(AN104=21,L104,0)</f>
        <v>0</v>
      </c>
      <c r="AN104" s="19">
        <v>21</v>
      </c>
      <c r="AO104" s="19">
        <f>H104*1</f>
        <v>0</v>
      </c>
      <c r="AP104" s="19">
        <f>H104*(1-1)</f>
        <v>0</v>
      </c>
      <c r="AQ104" s="51" t="s">
        <v>204</v>
      </c>
      <c r="AV104" s="19">
        <f>ROUND(AW104+AX104,2)</f>
        <v>0</v>
      </c>
      <c r="AW104" s="19">
        <f>ROUND(G104*AO104,2)</f>
        <v>0</v>
      </c>
      <c r="AX104" s="19">
        <f>ROUND(G104*AP104,2)</f>
        <v>0</v>
      </c>
      <c r="AY104" s="51" t="s">
        <v>205</v>
      </c>
      <c r="AZ104" s="51" t="s">
        <v>222</v>
      </c>
      <c r="BA104" s="14" t="s">
        <v>216</v>
      </c>
      <c r="BC104" s="19">
        <f>AW104+AX104</f>
        <v>0</v>
      </c>
      <c r="BD104" s="19">
        <f>H104/(100-BE104)*100</f>
        <v>0</v>
      </c>
      <c r="BE104" s="19">
        <v>0</v>
      </c>
      <c r="BF104" s="19">
        <f>O104</f>
        <v>0</v>
      </c>
      <c r="BH104" s="19">
        <f>G104*AO104</f>
        <v>0</v>
      </c>
      <c r="BI104" s="19">
        <f>G104*AP104</f>
        <v>0</v>
      </c>
      <c r="BJ104" s="19">
        <f>G104*H104</f>
        <v>0</v>
      </c>
      <c r="BK104" s="51" t="s">
        <v>101</v>
      </c>
      <c r="BL104" s="19"/>
      <c r="BW104" s="19">
        <f>I104</f>
        <v>21</v>
      </c>
      <c r="BX104" s="5" t="s">
        <v>147</v>
      </c>
    </row>
    <row r="105" spans="1:76" ht="13.5" customHeight="1" x14ac:dyDescent="0.25">
      <c r="A105" s="52"/>
      <c r="C105" s="21" t="s">
        <v>40</v>
      </c>
      <c r="D105" s="193" t="s">
        <v>143</v>
      </c>
      <c r="E105" s="194"/>
      <c r="F105" s="194"/>
      <c r="G105" s="194"/>
      <c r="H105" s="194"/>
      <c r="I105" s="194"/>
      <c r="J105" s="194"/>
      <c r="K105" s="194"/>
      <c r="L105" s="194"/>
      <c r="M105" s="194"/>
      <c r="N105" s="194"/>
      <c r="O105" s="194"/>
      <c r="P105" s="195"/>
    </row>
    <row r="106" spans="1:76" x14ac:dyDescent="0.25">
      <c r="A106" s="1" t="s">
        <v>224</v>
      </c>
      <c r="B106" s="2" t="s">
        <v>130</v>
      </c>
      <c r="C106" s="2" t="s">
        <v>148</v>
      </c>
      <c r="D106" s="96" t="s">
        <v>149</v>
      </c>
      <c r="E106" s="90"/>
      <c r="F106" s="2" t="s">
        <v>87</v>
      </c>
      <c r="G106" s="19">
        <f>'Rozpočet - vybrané sloupce'!H88</f>
        <v>1</v>
      </c>
      <c r="H106" s="19">
        <f>'Rozpočet - vybrané sloupce'!I88</f>
        <v>0</v>
      </c>
      <c r="I106" s="18">
        <v>21</v>
      </c>
      <c r="J106" s="19">
        <f>ROUND(G106*AO106,2)</f>
        <v>0</v>
      </c>
      <c r="K106" s="19">
        <f>ROUND(G106*AP106,2)</f>
        <v>0</v>
      </c>
      <c r="L106" s="19">
        <f>ROUND(G106*H106,2)</f>
        <v>0</v>
      </c>
      <c r="M106" s="19">
        <f>L106*(1+BW106/100)</f>
        <v>0</v>
      </c>
      <c r="N106" s="19">
        <v>0</v>
      </c>
      <c r="O106" s="19">
        <f>G106*N106</f>
        <v>0</v>
      </c>
      <c r="P106" s="50" t="s">
        <v>27</v>
      </c>
      <c r="Z106" s="19">
        <f>ROUND(IF(AQ106="5",BJ106,0),2)</f>
        <v>0</v>
      </c>
      <c r="AB106" s="19">
        <f>ROUND(IF(AQ106="1",BH106,0),2)</f>
        <v>0</v>
      </c>
      <c r="AC106" s="19">
        <f>ROUND(IF(AQ106="1",BI106,0),2)</f>
        <v>0</v>
      </c>
      <c r="AD106" s="19">
        <f>ROUND(IF(AQ106="7",BH106,0),2)</f>
        <v>0</v>
      </c>
      <c r="AE106" s="19">
        <f>ROUND(IF(AQ106="7",BI106,0),2)</f>
        <v>0</v>
      </c>
      <c r="AF106" s="19">
        <f>ROUND(IF(AQ106="2",BH106,0),2)</f>
        <v>0</v>
      </c>
      <c r="AG106" s="19">
        <f>ROUND(IF(AQ106="2",BI106,0),2)</f>
        <v>0</v>
      </c>
      <c r="AH106" s="19">
        <f>ROUND(IF(AQ106="0",BJ106,0),2)</f>
        <v>0</v>
      </c>
      <c r="AI106" s="14" t="s">
        <v>130</v>
      </c>
      <c r="AJ106" s="19">
        <f>IF(AN106=0,L106,0)</f>
        <v>0</v>
      </c>
      <c r="AK106" s="19">
        <f>IF(AN106=12,L106,0)</f>
        <v>0</v>
      </c>
      <c r="AL106" s="19">
        <f>IF(AN106=21,L106,0)</f>
        <v>0</v>
      </c>
      <c r="AN106" s="19">
        <v>21</v>
      </c>
      <c r="AO106" s="19">
        <f>H106*1</f>
        <v>0</v>
      </c>
      <c r="AP106" s="19">
        <f>H106*(1-1)</f>
        <v>0</v>
      </c>
      <c r="AQ106" s="51" t="s">
        <v>204</v>
      </c>
      <c r="AV106" s="19">
        <f>ROUND(AW106+AX106,2)</f>
        <v>0</v>
      </c>
      <c r="AW106" s="19">
        <f>ROUND(G106*AO106,2)</f>
        <v>0</v>
      </c>
      <c r="AX106" s="19">
        <f>ROUND(G106*AP106,2)</f>
        <v>0</v>
      </c>
      <c r="AY106" s="51" t="s">
        <v>205</v>
      </c>
      <c r="AZ106" s="51" t="s">
        <v>222</v>
      </c>
      <c r="BA106" s="14" t="s">
        <v>216</v>
      </c>
      <c r="BC106" s="19">
        <f>AW106+AX106</f>
        <v>0</v>
      </c>
      <c r="BD106" s="19">
        <f>H106/(100-BE106)*100</f>
        <v>0</v>
      </c>
      <c r="BE106" s="19">
        <v>0</v>
      </c>
      <c r="BF106" s="19">
        <f>O106</f>
        <v>0</v>
      </c>
      <c r="BH106" s="19">
        <f>G106*AO106</f>
        <v>0</v>
      </c>
      <c r="BI106" s="19">
        <f>G106*AP106</f>
        <v>0</v>
      </c>
      <c r="BJ106" s="19">
        <f>G106*H106</f>
        <v>0</v>
      </c>
      <c r="BK106" s="51" t="s">
        <v>101</v>
      </c>
      <c r="BL106" s="19"/>
      <c r="BW106" s="19">
        <f>I106</f>
        <v>21</v>
      </c>
      <c r="BX106" s="5" t="s">
        <v>149</v>
      </c>
    </row>
    <row r="107" spans="1:76" ht="13.5" customHeight="1" x14ac:dyDescent="0.25">
      <c r="A107" s="52"/>
      <c r="C107" s="21" t="s">
        <v>40</v>
      </c>
      <c r="D107" s="193" t="s">
        <v>143</v>
      </c>
      <c r="E107" s="194"/>
      <c r="F107" s="194"/>
      <c r="G107" s="194"/>
      <c r="H107" s="194"/>
      <c r="I107" s="194"/>
      <c r="J107" s="194"/>
      <c r="K107" s="194"/>
      <c r="L107" s="194"/>
      <c r="M107" s="194"/>
      <c r="N107" s="194"/>
      <c r="O107" s="194"/>
      <c r="P107" s="195"/>
    </row>
    <row r="108" spans="1:76" x14ac:dyDescent="0.25">
      <c r="A108" s="1" t="s">
        <v>225</v>
      </c>
      <c r="B108" s="2" t="s">
        <v>130</v>
      </c>
      <c r="C108" s="2" t="s">
        <v>150</v>
      </c>
      <c r="D108" s="96" t="s">
        <v>151</v>
      </c>
      <c r="E108" s="90"/>
      <c r="F108" s="2" t="s">
        <v>33</v>
      </c>
      <c r="G108" s="19">
        <f>'Rozpočet - vybrané sloupce'!H90</f>
        <v>53.2</v>
      </c>
      <c r="H108" s="19">
        <f>'Rozpočet - vybrané sloupce'!I90</f>
        <v>0</v>
      </c>
      <c r="I108" s="18">
        <v>21</v>
      </c>
      <c r="J108" s="19">
        <f>ROUND(G108*AO108,2)</f>
        <v>0</v>
      </c>
      <c r="K108" s="19">
        <f>ROUND(G108*AP108,2)</f>
        <v>0</v>
      </c>
      <c r="L108" s="19">
        <f>ROUND(G108*H108,2)</f>
        <v>0</v>
      </c>
      <c r="M108" s="19">
        <f>L108*(1+BW108/100)</f>
        <v>0</v>
      </c>
      <c r="N108" s="19">
        <v>0.04</v>
      </c>
      <c r="O108" s="19">
        <f>G108*N108</f>
        <v>2.1280000000000001</v>
      </c>
      <c r="P108" s="50" t="s">
        <v>27</v>
      </c>
      <c r="Z108" s="19">
        <f>ROUND(IF(AQ108="5",BJ108,0),2)</f>
        <v>0</v>
      </c>
      <c r="AB108" s="19">
        <f>ROUND(IF(AQ108="1",BH108,0),2)</f>
        <v>0</v>
      </c>
      <c r="AC108" s="19">
        <f>ROUND(IF(AQ108="1",BI108,0),2)</f>
        <v>0</v>
      </c>
      <c r="AD108" s="19">
        <f>ROUND(IF(AQ108="7",BH108,0),2)</f>
        <v>0</v>
      </c>
      <c r="AE108" s="19">
        <f>ROUND(IF(AQ108="7",BI108,0),2)</f>
        <v>0</v>
      </c>
      <c r="AF108" s="19">
        <f>ROUND(IF(AQ108="2",BH108,0),2)</f>
        <v>0</v>
      </c>
      <c r="AG108" s="19">
        <f>ROUND(IF(AQ108="2",BI108,0),2)</f>
        <v>0</v>
      </c>
      <c r="AH108" s="19">
        <f>ROUND(IF(AQ108="0",BJ108,0),2)</f>
        <v>0</v>
      </c>
      <c r="AI108" s="14" t="s">
        <v>130</v>
      </c>
      <c r="AJ108" s="19">
        <f>IF(AN108=0,L108,0)</f>
        <v>0</v>
      </c>
      <c r="AK108" s="19">
        <f>IF(AN108=12,L108,0)</f>
        <v>0</v>
      </c>
      <c r="AL108" s="19">
        <f>IF(AN108=21,L108,0)</f>
        <v>0</v>
      </c>
      <c r="AN108" s="19">
        <v>21</v>
      </c>
      <c r="AO108" s="19">
        <f>H108*1</f>
        <v>0</v>
      </c>
      <c r="AP108" s="19">
        <f>H108*(1-1)</f>
        <v>0</v>
      </c>
      <c r="AQ108" s="51" t="s">
        <v>204</v>
      </c>
      <c r="AV108" s="19">
        <f>ROUND(AW108+AX108,2)</f>
        <v>0</v>
      </c>
      <c r="AW108" s="19">
        <f>ROUND(G108*AO108,2)</f>
        <v>0</v>
      </c>
      <c r="AX108" s="19">
        <f>ROUND(G108*AP108,2)</f>
        <v>0</v>
      </c>
      <c r="AY108" s="51" t="s">
        <v>205</v>
      </c>
      <c r="AZ108" s="51" t="s">
        <v>222</v>
      </c>
      <c r="BA108" s="14" t="s">
        <v>216</v>
      </c>
      <c r="BC108" s="19">
        <f>AW108+AX108</f>
        <v>0</v>
      </c>
      <c r="BD108" s="19">
        <f>H108/(100-BE108)*100</f>
        <v>0</v>
      </c>
      <c r="BE108" s="19">
        <v>0</v>
      </c>
      <c r="BF108" s="19">
        <f>O108</f>
        <v>2.1280000000000001</v>
      </c>
      <c r="BH108" s="19">
        <f>G108*AO108</f>
        <v>0</v>
      </c>
      <c r="BI108" s="19">
        <f>G108*AP108</f>
        <v>0</v>
      </c>
      <c r="BJ108" s="19">
        <f>G108*H108</f>
        <v>0</v>
      </c>
      <c r="BK108" s="51" t="s">
        <v>101</v>
      </c>
      <c r="BL108" s="19"/>
      <c r="BW108" s="19">
        <f>I108</f>
        <v>21</v>
      </c>
      <c r="BX108" s="5" t="s">
        <v>151</v>
      </c>
    </row>
    <row r="109" spans="1:76" ht="13.5" customHeight="1" x14ac:dyDescent="0.25">
      <c r="A109" s="53"/>
      <c r="B109" s="54"/>
      <c r="C109" s="23" t="s">
        <v>40</v>
      </c>
      <c r="D109" s="203" t="s">
        <v>152</v>
      </c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  <c r="O109" s="204"/>
      <c r="P109" s="205"/>
    </row>
    <row r="110" spans="1:76" x14ac:dyDescent="0.25">
      <c r="J110" s="206" t="s">
        <v>153</v>
      </c>
      <c r="K110" s="206"/>
      <c r="L110" s="55">
        <f>ROUND(L13+L16+L50+L54+L59+L63+L67+L72+L91+L96+L99,2)</f>
        <v>0</v>
      </c>
      <c r="M110" s="55">
        <f>ROUND(M13+M16+M50+M54+M59+M63+M67+M72+M91+M96+M99,2)</f>
        <v>0</v>
      </c>
    </row>
    <row r="111" spans="1:76" x14ac:dyDescent="0.25">
      <c r="A111" s="56" t="s">
        <v>40</v>
      </c>
    </row>
    <row r="112" spans="1:76" ht="12.75" customHeight="1" x14ac:dyDescent="0.25">
      <c r="A112" s="96" t="s">
        <v>27</v>
      </c>
      <c r="B112" s="90"/>
      <c r="C112" s="90"/>
      <c r="D112" s="90"/>
      <c r="E112" s="90"/>
      <c r="F112" s="90"/>
      <c r="G112" s="90"/>
      <c r="H112" s="90"/>
      <c r="I112" s="90"/>
      <c r="J112" s="90"/>
      <c r="K112" s="90"/>
      <c r="L112" s="90"/>
      <c r="M112" s="90"/>
      <c r="N112" s="90"/>
      <c r="O112" s="90"/>
      <c r="P112" s="90"/>
    </row>
  </sheetData>
  <mergeCells count="129">
    <mergeCell ref="D109:P109"/>
    <mergeCell ref="J110:K110"/>
    <mergeCell ref="A112:P112"/>
    <mergeCell ref="D104:E104"/>
    <mergeCell ref="D105:P105"/>
    <mergeCell ref="D106:E106"/>
    <mergeCell ref="D107:P107"/>
    <mergeCell ref="D108:E108"/>
    <mergeCell ref="D99:E99"/>
    <mergeCell ref="D100:E100"/>
    <mergeCell ref="D101:P101"/>
    <mergeCell ref="D102:E102"/>
    <mergeCell ref="D103:P103"/>
    <mergeCell ref="D94:E94"/>
    <mergeCell ref="D95:P95"/>
    <mergeCell ref="D96:E96"/>
    <mergeCell ref="D97:E97"/>
    <mergeCell ref="D98:P98"/>
    <mergeCell ref="D89:P89"/>
    <mergeCell ref="D90:E90"/>
    <mergeCell ref="D91:E91"/>
    <mergeCell ref="D92:E92"/>
    <mergeCell ref="D93:P93"/>
    <mergeCell ref="D84:E84"/>
    <mergeCell ref="D85:P85"/>
    <mergeCell ref="D86:E86"/>
    <mergeCell ref="D87:P87"/>
    <mergeCell ref="D88:E88"/>
    <mergeCell ref="D79:P79"/>
    <mergeCell ref="D80:E80"/>
    <mergeCell ref="D81:P81"/>
    <mergeCell ref="D82:E82"/>
    <mergeCell ref="D83:P83"/>
    <mergeCell ref="D74:P74"/>
    <mergeCell ref="D75:P75"/>
    <mergeCell ref="D76:E76"/>
    <mergeCell ref="D77:P77"/>
    <mergeCell ref="D78:E78"/>
    <mergeCell ref="D69:P69"/>
    <mergeCell ref="D70:P70"/>
    <mergeCell ref="D71:P71"/>
    <mergeCell ref="D72:E72"/>
    <mergeCell ref="D73:E73"/>
    <mergeCell ref="D64:E64"/>
    <mergeCell ref="D65:P65"/>
    <mergeCell ref="D66:P66"/>
    <mergeCell ref="D67:E67"/>
    <mergeCell ref="D68:E68"/>
    <mergeCell ref="D59:E59"/>
    <mergeCell ref="D60:E60"/>
    <mergeCell ref="D61:P61"/>
    <mergeCell ref="D62:P62"/>
    <mergeCell ref="D63:E63"/>
    <mergeCell ref="D54:E54"/>
    <mergeCell ref="D55:E55"/>
    <mergeCell ref="D56:P56"/>
    <mergeCell ref="D57:P57"/>
    <mergeCell ref="D58:P58"/>
    <mergeCell ref="D49:P49"/>
    <mergeCell ref="D50:E50"/>
    <mergeCell ref="D51:E51"/>
    <mergeCell ref="D52:P52"/>
    <mergeCell ref="D53:P53"/>
    <mergeCell ref="D44:E44"/>
    <mergeCell ref="D45:P45"/>
    <mergeCell ref="D46:P46"/>
    <mergeCell ref="D47:E47"/>
    <mergeCell ref="D48:P48"/>
    <mergeCell ref="D39:P39"/>
    <mergeCell ref="D40:P40"/>
    <mergeCell ref="D41:E41"/>
    <mergeCell ref="D42:P42"/>
    <mergeCell ref="D43:P43"/>
    <mergeCell ref="D35:E35"/>
    <mergeCell ref="D36:P36"/>
    <mergeCell ref="D37:P37"/>
    <mergeCell ref="D38:E38"/>
    <mergeCell ref="D29:E29"/>
    <mergeCell ref="D30:P30"/>
    <mergeCell ref="D31:P31"/>
    <mergeCell ref="D32:E32"/>
    <mergeCell ref="D33:P33"/>
    <mergeCell ref="D26:E26"/>
    <mergeCell ref="D27:P27"/>
    <mergeCell ref="D28:P28"/>
    <mergeCell ref="D19:P19"/>
    <mergeCell ref="D20:E20"/>
    <mergeCell ref="D21:P21"/>
    <mergeCell ref="D22:P22"/>
    <mergeCell ref="D23:E23"/>
    <mergeCell ref="D34:P34"/>
    <mergeCell ref="D17:E17"/>
    <mergeCell ref="D18:P18"/>
    <mergeCell ref="D11:E11"/>
    <mergeCell ref="J10:L10"/>
    <mergeCell ref="N10:O10"/>
    <mergeCell ref="D12:E12"/>
    <mergeCell ref="D13:E13"/>
    <mergeCell ref="D24:P24"/>
    <mergeCell ref="D25:P25"/>
    <mergeCell ref="D10:E10"/>
    <mergeCell ref="D8:E9"/>
    <mergeCell ref="H2:H3"/>
    <mergeCell ref="H4:H5"/>
    <mergeCell ref="H6:H7"/>
    <mergeCell ref="H8:H9"/>
    <mergeCell ref="D14:E14"/>
    <mergeCell ref="D15:P15"/>
    <mergeCell ref="D16:E16"/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  <mergeCell ref="J2:P3"/>
    <mergeCell ref="J4:P5"/>
    <mergeCell ref="J6:P7"/>
    <mergeCell ref="J8:P9"/>
  </mergeCells>
  <pageMargins left="0.393999993801117" right="0.393999993801117" top="0.59100002050399802" bottom="0.59100002050399802" header="0" footer="0"/>
  <pageSetup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Rozpočet - vybrané sloupce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uzivatel</cp:lastModifiedBy>
  <dcterms:created xsi:type="dcterms:W3CDTF">2021-06-10T20:06:38Z</dcterms:created>
  <dcterms:modified xsi:type="dcterms:W3CDTF">2025-09-19T08:58:39Z</dcterms:modified>
</cp:coreProperties>
</file>